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esktop\実験A\6月11日提出\"/>
    </mc:Choice>
  </mc:AlternateContent>
  <xr:revisionPtr revIDLastSave="0" documentId="13_ncr:1_{F2CCEB52-68E5-4244-B90C-6F970174DB3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課題１" sheetId="6" r:id="rId1"/>
    <sheet name="課題３" sheetId="3" r:id="rId2"/>
    <sheet name="槽内流れ_レポート用" sheetId="5" r:id="rId3"/>
    <sheet name="レポートデータ出力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5" l="1"/>
  <c r="D44" i="5"/>
  <c r="C44" i="5"/>
  <c r="J15" i="5"/>
  <c r="F45" i="5" l="1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G44" i="5"/>
  <c r="J6" i="5"/>
  <c r="D48" i="5"/>
  <c r="D53" i="5"/>
  <c r="D56" i="5"/>
  <c r="D59" i="5"/>
  <c r="D69" i="5"/>
  <c r="D75" i="5"/>
  <c r="D77" i="5"/>
  <c r="D80" i="5"/>
  <c r="D91" i="5"/>
  <c r="D96" i="5"/>
  <c r="D99" i="5"/>
  <c r="D101" i="5"/>
  <c r="D112" i="5"/>
  <c r="D117" i="5"/>
  <c r="D120" i="5"/>
  <c r="D123" i="5"/>
  <c r="D133" i="5"/>
  <c r="C50" i="5"/>
  <c r="C52" i="5"/>
  <c r="C55" i="5"/>
  <c r="C66" i="5"/>
  <c r="C71" i="5"/>
  <c r="C74" i="5"/>
  <c r="C76" i="5"/>
  <c r="C87" i="5"/>
  <c r="C92" i="5"/>
  <c r="C95" i="5"/>
  <c r="C98" i="5"/>
  <c r="C108" i="5"/>
  <c r="C111" i="5"/>
  <c r="C114" i="5"/>
  <c r="C116" i="5"/>
  <c r="C118" i="5"/>
  <c r="C124" i="5"/>
  <c r="C126" i="5"/>
  <c r="C127" i="5"/>
  <c r="C130" i="5"/>
  <c r="C132" i="5"/>
  <c r="C134" i="5"/>
  <c r="O54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G26" i="5"/>
  <c r="G27" i="5"/>
  <c r="G28" i="5"/>
  <c r="G29" i="5"/>
  <c r="G30" i="5"/>
  <c r="G31" i="5"/>
  <c r="G32" i="5"/>
  <c r="G33" i="5"/>
  <c r="G34" i="5"/>
  <c r="G25" i="5"/>
  <c r="J29" i="3"/>
  <c r="K29" i="3" s="1"/>
  <c r="L29" i="3" s="1"/>
  <c r="K28" i="3"/>
  <c r="J28" i="3"/>
  <c r="J15" i="3"/>
  <c r="G16" i="3"/>
  <c r="G17" i="3"/>
  <c r="G18" i="3"/>
  <c r="G19" i="3"/>
  <c r="G15" i="3"/>
  <c r="J10" i="3"/>
  <c r="I29" i="3"/>
  <c r="I28" i="3"/>
  <c r="J19" i="3"/>
  <c r="J7" i="3"/>
  <c r="J5" i="3"/>
  <c r="G29" i="3"/>
  <c r="G28" i="3"/>
  <c r="E29" i="3"/>
  <c r="E28" i="3"/>
  <c r="C90" i="5" l="1"/>
  <c r="C68" i="5"/>
  <c r="C47" i="5"/>
  <c r="D115" i="5"/>
  <c r="D93" i="5"/>
  <c r="D72" i="5"/>
  <c r="D51" i="5"/>
  <c r="C106" i="5"/>
  <c r="C84" i="5"/>
  <c r="C63" i="5"/>
  <c r="D131" i="5"/>
  <c r="D109" i="5"/>
  <c r="D88" i="5"/>
  <c r="D67" i="5"/>
  <c r="E144" i="5"/>
  <c r="D46" i="5"/>
  <c r="D54" i="5"/>
  <c r="D62" i="5"/>
  <c r="D70" i="5"/>
  <c r="D78" i="5"/>
  <c r="D86" i="5"/>
  <c r="D94" i="5"/>
  <c r="D102" i="5"/>
  <c r="D110" i="5"/>
  <c r="D118" i="5"/>
  <c r="D126" i="5"/>
  <c r="C45" i="5"/>
  <c r="C53" i="5"/>
  <c r="C61" i="5"/>
  <c r="C69" i="5"/>
  <c r="C77" i="5"/>
  <c r="C85" i="5"/>
  <c r="C93" i="5"/>
  <c r="C101" i="5"/>
  <c r="C109" i="5"/>
  <c r="C117" i="5"/>
  <c r="C125" i="5"/>
  <c r="C133" i="5"/>
  <c r="D144" i="5"/>
  <c r="D47" i="5"/>
  <c r="D55" i="5"/>
  <c r="D63" i="5"/>
  <c r="D71" i="5"/>
  <c r="D79" i="5"/>
  <c r="D87" i="5"/>
  <c r="D95" i="5"/>
  <c r="D103" i="5"/>
  <c r="D111" i="5"/>
  <c r="D119" i="5"/>
  <c r="D127" i="5"/>
  <c r="C46" i="5"/>
  <c r="C54" i="5"/>
  <c r="C62" i="5"/>
  <c r="C70" i="5"/>
  <c r="C78" i="5"/>
  <c r="C86" i="5"/>
  <c r="C94" i="5"/>
  <c r="C102" i="5"/>
  <c r="C110" i="5"/>
  <c r="B144" i="5"/>
  <c r="C144" i="5"/>
  <c r="D49" i="5"/>
  <c r="D57" i="5"/>
  <c r="D65" i="5"/>
  <c r="D73" i="5"/>
  <c r="D81" i="5"/>
  <c r="D89" i="5"/>
  <c r="D97" i="5"/>
  <c r="D105" i="5"/>
  <c r="D113" i="5"/>
  <c r="D121" i="5"/>
  <c r="D129" i="5"/>
  <c r="C48" i="5"/>
  <c r="C56" i="5"/>
  <c r="C64" i="5"/>
  <c r="C72" i="5"/>
  <c r="C80" i="5"/>
  <c r="C88" i="5"/>
  <c r="C96" i="5"/>
  <c r="C104" i="5"/>
  <c r="C112" i="5"/>
  <c r="C120" i="5"/>
  <c r="C128" i="5"/>
  <c r="D58" i="5"/>
  <c r="D74" i="5"/>
  <c r="D82" i="5"/>
  <c r="D98" i="5"/>
  <c r="D114" i="5"/>
  <c r="D130" i="5"/>
  <c r="C65" i="5"/>
  <c r="C81" i="5"/>
  <c r="C97" i="5"/>
  <c r="C113" i="5"/>
  <c r="C129" i="5"/>
  <c r="D50" i="5"/>
  <c r="D66" i="5"/>
  <c r="D90" i="5"/>
  <c r="D106" i="5"/>
  <c r="D122" i="5"/>
  <c r="C49" i="5"/>
  <c r="C57" i="5"/>
  <c r="C73" i="5"/>
  <c r="C89" i="5"/>
  <c r="C105" i="5"/>
  <c r="C121" i="5"/>
  <c r="D145" i="5"/>
  <c r="D134" i="5"/>
  <c r="D52" i="5"/>
  <c r="D60" i="5"/>
  <c r="D68" i="5"/>
  <c r="D76" i="5"/>
  <c r="D84" i="5"/>
  <c r="D92" i="5"/>
  <c r="D100" i="5"/>
  <c r="D108" i="5"/>
  <c r="D116" i="5"/>
  <c r="D124" i="5"/>
  <c r="D132" i="5"/>
  <c r="C51" i="5"/>
  <c r="C59" i="5"/>
  <c r="C67" i="5"/>
  <c r="C75" i="5"/>
  <c r="C83" i="5"/>
  <c r="C91" i="5"/>
  <c r="C99" i="5"/>
  <c r="C107" i="5"/>
  <c r="C115" i="5"/>
  <c r="C123" i="5"/>
  <c r="C131" i="5"/>
  <c r="C145" i="5"/>
  <c r="D45" i="5"/>
  <c r="C122" i="5"/>
  <c r="C103" i="5"/>
  <c r="C82" i="5"/>
  <c r="C60" i="5"/>
  <c r="D128" i="5"/>
  <c r="D107" i="5"/>
  <c r="D85" i="5"/>
  <c r="D64" i="5"/>
  <c r="E145" i="5"/>
  <c r="C119" i="5"/>
  <c r="C100" i="5"/>
  <c r="C79" i="5"/>
  <c r="C58" i="5"/>
  <c r="D125" i="5"/>
  <c r="D104" i="5"/>
  <c r="D83" i="5"/>
  <c r="D61" i="5"/>
  <c r="L28" i="3"/>
  <c r="J9" i="5"/>
  <c r="J10" i="5"/>
  <c r="J11" i="5"/>
  <c r="J12" i="5"/>
  <c r="J13" i="5"/>
  <c r="J14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I25" i="5"/>
  <c r="E5" i="5"/>
  <c r="J5" i="5" s="1"/>
  <c r="E6" i="5"/>
  <c r="E7" i="5"/>
  <c r="J7" i="5" s="1"/>
  <c r="E8" i="5"/>
  <c r="J8" i="5" s="1"/>
  <c r="I5" i="3"/>
  <c r="I26" i="5"/>
  <c r="I27" i="5"/>
  <c r="I28" i="5"/>
  <c r="I29" i="5"/>
  <c r="I30" i="5"/>
  <c r="I31" i="5"/>
  <c r="I32" i="5"/>
  <c r="I33" i="5"/>
  <c r="I34" i="5"/>
  <c r="G6" i="5"/>
  <c r="G7" i="5"/>
  <c r="G8" i="5"/>
  <c r="I8" i="5" s="1"/>
  <c r="G9" i="5"/>
  <c r="I9" i="5" s="1"/>
  <c r="G10" i="5"/>
  <c r="I10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5" i="5"/>
  <c r="I5" i="5" s="1"/>
  <c r="G5" i="3"/>
  <c r="H8" i="3"/>
  <c r="J8" i="3" s="1"/>
  <c r="H7" i="3"/>
  <c r="G4" i="6"/>
  <c r="E4" i="6"/>
  <c r="J4" i="6" s="1"/>
  <c r="J16" i="3"/>
  <c r="J17" i="3"/>
  <c r="J18" i="3"/>
  <c r="J11" i="3"/>
  <c r="J12" i="3"/>
  <c r="J13" i="3"/>
  <c r="J14" i="3"/>
  <c r="J6" i="3"/>
  <c r="J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G10" i="3"/>
  <c r="G11" i="3"/>
  <c r="G12" i="3"/>
  <c r="G13" i="3"/>
  <c r="G14" i="3"/>
  <c r="F10" i="3"/>
  <c r="F11" i="3"/>
  <c r="F12" i="3"/>
  <c r="F13" i="3"/>
  <c r="F14" i="3"/>
  <c r="E15" i="3"/>
  <c r="E16" i="3"/>
  <c r="E17" i="3"/>
  <c r="E18" i="3"/>
  <c r="E19" i="3"/>
  <c r="E10" i="3"/>
  <c r="E11" i="3"/>
  <c r="E12" i="3"/>
  <c r="E13" i="3"/>
  <c r="E14" i="3"/>
  <c r="F145" i="5" l="1"/>
  <c r="I7" i="5"/>
  <c r="I6" i="5"/>
  <c r="F144" i="5"/>
  <c r="G144" i="5"/>
  <c r="G145" i="5"/>
  <c r="I4" i="6"/>
  <c r="F6" i="3"/>
  <c r="F7" i="3"/>
  <c r="F8" i="3"/>
  <c r="F9" i="3"/>
  <c r="F5" i="3"/>
  <c r="E6" i="3"/>
  <c r="E7" i="3"/>
  <c r="E8" i="3"/>
  <c r="E9" i="3"/>
  <c r="E5" i="3"/>
  <c r="G6" i="3"/>
  <c r="G7" i="3"/>
  <c r="G8" i="3"/>
  <c r="G9" i="3"/>
  <c r="G54" i="5" l="1"/>
  <c r="G102" i="5"/>
  <c r="G132" i="5"/>
  <c r="G60" i="5"/>
  <c r="G83" i="5"/>
  <c r="G108" i="5"/>
  <c r="G74" i="5"/>
  <c r="G105" i="5"/>
  <c r="G128" i="5"/>
  <c r="G64" i="5"/>
  <c r="G95" i="5"/>
  <c r="G117" i="5"/>
  <c r="G123" i="5"/>
  <c r="G69" i="5"/>
  <c r="G109" i="5"/>
  <c r="G55" i="5"/>
  <c r="G85" i="5"/>
  <c r="G121" i="5"/>
  <c r="G47" i="5"/>
  <c r="G118" i="5"/>
  <c r="G110" i="5"/>
  <c r="G124" i="5"/>
  <c r="G52" i="5"/>
  <c r="G75" i="5"/>
  <c r="G130" i="5"/>
  <c r="G66" i="5"/>
  <c r="G97" i="5"/>
  <c r="G120" i="5"/>
  <c r="G56" i="5"/>
  <c r="G87" i="5"/>
  <c r="G93" i="5"/>
  <c r="G81" i="5"/>
  <c r="G98" i="5"/>
  <c r="G119" i="5"/>
  <c r="G90" i="5"/>
  <c r="G62" i="5"/>
  <c r="G94" i="5"/>
  <c r="G116" i="5"/>
  <c r="G131" i="5"/>
  <c r="G67" i="5"/>
  <c r="G122" i="5"/>
  <c r="G58" i="5"/>
  <c r="G89" i="5"/>
  <c r="G112" i="5"/>
  <c r="G48" i="5"/>
  <c r="G79" i="5"/>
  <c r="G77" i="5"/>
  <c r="G126" i="5"/>
  <c r="G45" i="5"/>
  <c r="G100" i="5"/>
  <c r="G59" i="5"/>
  <c r="G114" i="5"/>
  <c r="G104" i="5"/>
  <c r="G71" i="5"/>
  <c r="G134" i="5"/>
  <c r="G125" i="5"/>
  <c r="G65" i="5"/>
  <c r="G76" i="5"/>
  <c r="G70" i="5"/>
  <c r="G133" i="5"/>
  <c r="G92" i="5"/>
  <c r="G115" i="5"/>
  <c r="G51" i="5"/>
  <c r="G106" i="5"/>
  <c r="H144" i="5"/>
  <c r="G73" i="5"/>
  <c r="G96" i="5"/>
  <c r="G127" i="5"/>
  <c r="G63" i="5"/>
  <c r="G80" i="5"/>
  <c r="G107" i="5"/>
  <c r="G78" i="5"/>
  <c r="G99" i="5"/>
  <c r="G57" i="5"/>
  <c r="G86" i="5"/>
  <c r="G53" i="5"/>
  <c r="G68" i="5"/>
  <c r="G91" i="5"/>
  <c r="G61" i="5"/>
  <c r="G82" i="5"/>
  <c r="G113" i="5"/>
  <c r="G49" i="5"/>
  <c r="G72" i="5"/>
  <c r="G103" i="5"/>
  <c r="G46" i="5"/>
  <c r="G50" i="5"/>
  <c r="G84" i="5"/>
  <c r="G129" i="5"/>
  <c r="G88" i="5"/>
  <c r="G101" i="5"/>
  <c r="G111" i="5"/>
  <c r="F4" i="8"/>
  <c r="F35" i="8" s="1"/>
  <c r="F16" i="8" l="1"/>
  <c r="G11" i="8"/>
  <c r="G7" i="8"/>
  <c r="G9" i="8"/>
  <c r="G13" i="8"/>
  <c r="G15" i="8"/>
  <c r="G17" i="8"/>
  <c r="G19" i="8"/>
  <c r="G21" i="8"/>
  <c r="G23" i="8"/>
  <c r="G25" i="8"/>
  <c r="G27" i="8"/>
  <c r="G29" i="8"/>
  <c r="G31" i="8"/>
  <c r="G33" i="8"/>
  <c r="G35" i="8"/>
  <c r="H7" i="8"/>
  <c r="H9" i="8"/>
  <c r="H11" i="8"/>
  <c r="H13" i="8"/>
  <c r="H15" i="8"/>
  <c r="H17" i="8"/>
  <c r="H19" i="8"/>
  <c r="H21" i="8"/>
  <c r="H23" i="8"/>
  <c r="H25" i="8"/>
  <c r="H27" i="8"/>
  <c r="H29" i="8"/>
  <c r="H31" i="8"/>
  <c r="H33" i="8"/>
  <c r="H35" i="8"/>
  <c r="I7" i="8"/>
  <c r="I9" i="8"/>
  <c r="I11" i="8"/>
  <c r="I13" i="8"/>
  <c r="I15" i="8"/>
  <c r="I17" i="8"/>
  <c r="I19" i="8"/>
  <c r="I21" i="8"/>
  <c r="I23" i="8"/>
  <c r="I25" i="8"/>
  <c r="I27" i="8"/>
  <c r="I29" i="8"/>
  <c r="I31" i="8"/>
  <c r="I33" i="8"/>
  <c r="I35" i="8"/>
  <c r="F8" i="8"/>
  <c r="F10" i="8"/>
  <c r="F12" i="8"/>
  <c r="F14" i="8"/>
  <c r="F18" i="8"/>
  <c r="F20" i="8"/>
  <c r="F22" i="8"/>
  <c r="F24" i="8"/>
  <c r="F26" i="8"/>
  <c r="F28" i="8"/>
  <c r="F30" i="8"/>
  <c r="F32" i="8"/>
  <c r="F34" i="8"/>
  <c r="G8" i="8"/>
  <c r="G10" i="8"/>
  <c r="G12" i="8"/>
  <c r="G14" i="8"/>
  <c r="G16" i="8"/>
  <c r="G18" i="8"/>
  <c r="G20" i="8"/>
  <c r="G22" i="8"/>
  <c r="G24" i="8"/>
  <c r="G26" i="8"/>
  <c r="G28" i="8"/>
  <c r="G30" i="8"/>
  <c r="G32" i="8"/>
  <c r="G34" i="8"/>
  <c r="H8" i="8"/>
  <c r="H10" i="8"/>
  <c r="H12" i="8"/>
  <c r="H14" i="8"/>
  <c r="H16" i="8"/>
  <c r="H18" i="8"/>
  <c r="H20" i="8"/>
  <c r="H22" i="8"/>
  <c r="H24" i="8"/>
  <c r="H26" i="8"/>
  <c r="H28" i="8"/>
  <c r="H30" i="8"/>
  <c r="H32" i="8"/>
  <c r="H34" i="8"/>
  <c r="I8" i="8"/>
  <c r="I10" i="8"/>
  <c r="I12" i="8"/>
  <c r="I14" i="8"/>
  <c r="I16" i="8"/>
  <c r="I18" i="8"/>
  <c r="I20" i="8"/>
  <c r="I22" i="8"/>
  <c r="I24" i="8"/>
  <c r="I26" i="8"/>
  <c r="I28" i="8"/>
  <c r="I30" i="8"/>
  <c r="I32" i="8"/>
  <c r="I34" i="8"/>
  <c r="F7" i="8"/>
  <c r="F9" i="8"/>
  <c r="F11" i="8"/>
  <c r="F13" i="8"/>
  <c r="F15" i="8"/>
  <c r="F17" i="8"/>
  <c r="F19" i="8"/>
  <c r="F21" i="8"/>
  <c r="F23" i="8"/>
  <c r="F25" i="8"/>
  <c r="F27" i="8"/>
  <c r="F29" i="8"/>
  <c r="F31" i="8"/>
  <c r="F33" i="8"/>
  <c r="F6" i="8"/>
  <c r="G6" i="8"/>
  <c r="H6" i="8"/>
  <c r="I6" i="8"/>
  <c r="B61" i="5" l="1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</calcChain>
</file>

<file path=xl/sharedStrings.xml><?xml version="1.0" encoding="utf-8"?>
<sst xmlns="http://schemas.openxmlformats.org/spreadsheetml/2006/main" count="265" uniqueCount="100">
  <si>
    <t>A</t>
    <phoneticPr fontId="20"/>
  </si>
  <si>
    <t>B</t>
    <phoneticPr fontId="20"/>
  </si>
  <si>
    <t>C</t>
    <phoneticPr fontId="20"/>
  </si>
  <si>
    <t>D</t>
    <phoneticPr fontId="20"/>
  </si>
  <si>
    <t>単位</t>
  </si>
  <si>
    <r>
      <t xml:space="preserve">密度 </t>
    </r>
    <r>
      <rPr>
        <b/>
        <i/>
        <sz val="11"/>
        <rFont val="Arial"/>
        <family val="2"/>
      </rPr>
      <t>ρ</t>
    </r>
  </si>
  <si>
    <r>
      <t xml:space="preserve">粘度 </t>
    </r>
    <r>
      <rPr>
        <b/>
        <i/>
        <sz val="11"/>
        <rFont val="Arial"/>
        <family val="2"/>
      </rPr>
      <t>μ</t>
    </r>
  </si>
  <si>
    <t>水温</t>
  </si>
  <si>
    <t>回転数</t>
  </si>
  <si>
    <t>水・邪魔板無し</t>
  </si>
  <si>
    <t>水・邪魔板有り</t>
  </si>
  <si>
    <t>グリセリン・邪魔板なし</t>
  </si>
  <si>
    <t>〇水粘度パラメータ</t>
  </si>
  <si>
    <r>
      <t>動力数</t>
    </r>
    <r>
      <rPr>
        <b/>
        <i/>
        <sz val="11"/>
        <rFont val="Arial"/>
        <family val="2"/>
      </rPr>
      <t xml:space="preserve"> Np</t>
    </r>
  </si>
  <si>
    <t>℃</t>
  </si>
  <si>
    <t>s</t>
  </si>
  <si>
    <t>kg/m3</t>
  </si>
  <si>
    <t>Pa・s</t>
  </si>
  <si>
    <t>-</t>
  </si>
  <si>
    <t>m</t>
  </si>
  <si>
    <t>s-1</t>
  </si>
  <si>
    <t>トルク T</t>
  </si>
  <si>
    <t>撹拌Re数</t>
  </si>
  <si>
    <t>N・m</t>
  </si>
  <si>
    <t>〇混合時間</t>
  </si>
  <si>
    <r>
      <t>液深</t>
    </r>
    <r>
      <rPr>
        <b/>
        <i/>
        <sz val="11"/>
        <rFont val="Arial"/>
        <family val="2"/>
      </rPr>
      <t xml:space="preserve"> H</t>
    </r>
  </si>
  <si>
    <r>
      <t xml:space="preserve">回転数 </t>
    </r>
    <r>
      <rPr>
        <b/>
        <i/>
        <sz val="11"/>
        <rFont val="Arial"/>
        <family val="2"/>
      </rPr>
      <t>n</t>
    </r>
  </si>
  <si>
    <r>
      <t>T</t>
    </r>
    <r>
      <rPr>
        <b/>
        <i/>
        <vertAlign val="subscript"/>
        <sz val="11"/>
        <rFont val="Arial"/>
        <family val="2"/>
      </rPr>
      <t>M</t>
    </r>
  </si>
  <si>
    <r>
      <t>1/T</t>
    </r>
    <r>
      <rPr>
        <b/>
        <i/>
        <vertAlign val="subscript"/>
        <sz val="11"/>
        <rFont val="Arial"/>
        <family val="2"/>
      </rPr>
      <t>M</t>
    </r>
  </si>
  <si>
    <t>実測混合時間</t>
  </si>
  <si>
    <r>
      <t>kg/m</t>
    </r>
    <r>
      <rPr>
        <vertAlign val="superscript"/>
        <sz val="11"/>
        <rFont val="Arial"/>
        <family val="2"/>
      </rPr>
      <t>3</t>
    </r>
  </si>
  <si>
    <r>
      <t xml:space="preserve">トルク </t>
    </r>
    <r>
      <rPr>
        <b/>
        <i/>
        <sz val="11"/>
        <rFont val="Arial"/>
        <family val="2"/>
      </rPr>
      <t>T</t>
    </r>
  </si>
  <si>
    <t>N・cm</t>
  </si>
  <si>
    <t>Re</t>
    <phoneticPr fontId="3"/>
  </si>
  <si>
    <t>A</t>
    <phoneticPr fontId="3"/>
  </si>
  <si>
    <t>B</t>
    <phoneticPr fontId="3"/>
  </si>
  <si>
    <t>p</t>
    <phoneticPr fontId="3"/>
  </si>
  <si>
    <t>Np</t>
    <phoneticPr fontId="3"/>
  </si>
  <si>
    <t>b'</t>
    <phoneticPr fontId="2"/>
  </si>
  <si>
    <t>Rθ</t>
    <phoneticPr fontId="2"/>
  </si>
  <si>
    <t>A</t>
    <phoneticPr fontId="2"/>
  </si>
  <si>
    <t>B</t>
    <phoneticPr fontId="2"/>
  </si>
  <si>
    <t>p</t>
    <phoneticPr fontId="2"/>
  </si>
  <si>
    <t>Npmax</t>
    <phoneticPr fontId="2"/>
  </si>
  <si>
    <t>Np∞</t>
    <phoneticPr fontId="2"/>
  </si>
  <si>
    <t>NpB</t>
    <phoneticPr fontId="2"/>
  </si>
  <si>
    <r>
      <rPr>
        <b/>
        <i/>
        <sz val="11"/>
        <rFont val="Arial"/>
        <family val="2"/>
      </rPr>
      <t>d</t>
    </r>
    <r>
      <rPr>
        <b/>
        <sz val="11"/>
        <rFont val="Arial"/>
        <family val="2"/>
      </rPr>
      <t>[m]</t>
    </r>
  </si>
  <si>
    <t>〇邪魔板無し理論式(永田の式)</t>
  </si>
  <si>
    <t>〇邪魔板有り理論式(不完全邪魔板条件)</t>
  </si>
  <si>
    <r>
      <rPr>
        <b/>
        <i/>
        <sz val="11"/>
        <rFont val="Arial"/>
        <family val="2"/>
      </rPr>
      <t>H</t>
    </r>
    <r>
      <rPr>
        <b/>
        <sz val="11"/>
        <rFont val="Arial"/>
        <family val="2"/>
      </rPr>
      <t>[m]</t>
    </r>
  </si>
  <si>
    <t>rpm</t>
  </si>
  <si>
    <t>Nqd</t>
  </si>
  <si>
    <t>課題１</t>
    <rPh sb="0" eb="2">
      <t>カダイ</t>
    </rPh>
    <phoneticPr fontId="20"/>
  </si>
  <si>
    <t>課題１</t>
    <rPh sb="0" eb="2">
      <t>カダイ</t>
    </rPh>
    <phoneticPr fontId="20"/>
  </si>
  <si>
    <t>↓学籍番号の下3桁を入力</t>
    <rPh sb="1" eb="3">
      <t>ガクセキ</t>
    </rPh>
    <rPh sb="3" eb="5">
      <t>バンゴウ</t>
    </rPh>
    <rPh sb="6" eb="7">
      <t>シモ</t>
    </rPh>
    <rPh sb="8" eb="9">
      <t>ケタ</t>
    </rPh>
    <rPh sb="10" eb="12">
      <t>ニュウリョク</t>
    </rPh>
    <phoneticPr fontId="27"/>
  </si>
  <si>
    <t>B</t>
    <phoneticPr fontId="27"/>
  </si>
  <si>
    <t>T</t>
    <phoneticPr fontId="27"/>
  </si>
  <si>
    <t>温度
[℃]</t>
    <rPh sb="0" eb="2">
      <t>オンド</t>
    </rPh>
    <phoneticPr fontId="27"/>
  </si>
  <si>
    <t>回転数
[rpm]</t>
    <rPh sb="0" eb="3">
      <t>カイテンスウ</t>
    </rPh>
    <phoneticPr fontId="27"/>
  </si>
  <si>
    <t>トルクT
[N cm]</t>
    <phoneticPr fontId="27"/>
  </si>
  <si>
    <t>液深
[m]</t>
    <rPh sb="0" eb="1">
      <t>エキ</t>
    </rPh>
    <rPh sb="1" eb="2">
      <t>シン</t>
    </rPh>
    <phoneticPr fontId="27"/>
  </si>
  <si>
    <t>temp</t>
    <phoneticPr fontId="27"/>
  </si>
  <si>
    <t>N</t>
    <phoneticPr fontId="1"/>
  </si>
  <si>
    <t>T</t>
    <phoneticPr fontId="1"/>
  </si>
  <si>
    <t>h</t>
    <phoneticPr fontId="1"/>
  </si>
  <si>
    <t>水・邪魔板なし</t>
    <rPh sb="0" eb="1">
      <t>ミズ</t>
    </rPh>
    <rPh sb="2" eb="4">
      <t>ジャマ</t>
    </rPh>
    <rPh sb="4" eb="5">
      <t>イタ</t>
    </rPh>
    <phoneticPr fontId="27"/>
  </si>
  <si>
    <t>水・邪魔板あり</t>
    <rPh sb="0" eb="1">
      <t>ミズ</t>
    </rPh>
    <rPh sb="2" eb="4">
      <t>ジャマ</t>
    </rPh>
    <rPh sb="4" eb="5">
      <t>イタ</t>
    </rPh>
    <phoneticPr fontId="27"/>
  </si>
  <si>
    <t>グリセリン・邪魔板なし</t>
    <rPh sb="6" eb="8">
      <t>ジャマ</t>
    </rPh>
    <rPh sb="8" eb="9">
      <t>イタ</t>
    </rPh>
    <phoneticPr fontId="27"/>
  </si>
  <si>
    <t>T</t>
    <phoneticPr fontId="1"/>
  </si>
  <si>
    <t>temp</t>
    <phoneticPr fontId="27"/>
  </si>
  <si>
    <t>or 7</t>
    <phoneticPr fontId="20"/>
  </si>
  <si>
    <t>or 5</t>
    <phoneticPr fontId="20"/>
  </si>
  <si>
    <t>○装置定数</t>
    <rPh sb="1" eb="3">
      <t>ソウチ</t>
    </rPh>
    <rPh sb="3" eb="5">
      <t>テイスウ</t>
    </rPh>
    <phoneticPr fontId="20"/>
  </si>
  <si>
    <t>攪拌層径</t>
    <rPh sb="0" eb="2">
      <t>カクハン</t>
    </rPh>
    <rPh sb="2" eb="3">
      <t>ソウ</t>
    </rPh>
    <rPh sb="3" eb="4">
      <t>ケイ</t>
    </rPh>
    <phoneticPr fontId="20"/>
  </si>
  <si>
    <t>攪拌層</t>
    <rPh sb="0" eb="2">
      <t>カクハン</t>
    </rPh>
    <rPh sb="2" eb="3">
      <t>ソウ</t>
    </rPh>
    <phoneticPr fontId="20"/>
  </si>
  <si>
    <t>攪拌翼</t>
    <rPh sb="0" eb="2">
      <t>カクハン</t>
    </rPh>
    <rPh sb="2" eb="3">
      <t>ヨク</t>
    </rPh>
    <phoneticPr fontId="20"/>
  </si>
  <si>
    <t>D</t>
    <phoneticPr fontId="20"/>
  </si>
  <si>
    <t>[m]</t>
    <phoneticPr fontId="20"/>
  </si>
  <si>
    <t>邪魔板幅</t>
    <rPh sb="0" eb="2">
      <t>ジャマ</t>
    </rPh>
    <rPh sb="2" eb="3">
      <t>イタ</t>
    </rPh>
    <rPh sb="3" eb="4">
      <t>ハバ</t>
    </rPh>
    <phoneticPr fontId="20"/>
  </si>
  <si>
    <t>邪魔板枚数</t>
    <rPh sb="0" eb="2">
      <t>ジャマ</t>
    </rPh>
    <rPh sb="2" eb="3">
      <t>イタ</t>
    </rPh>
    <rPh sb="3" eb="5">
      <t>マイスウ</t>
    </rPh>
    <phoneticPr fontId="20"/>
  </si>
  <si>
    <t>攪拌翼径</t>
    <rPh sb="0" eb="2">
      <t>カクハン</t>
    </rPh>
    <rPh sb="2" eb="3">
      <t>ヨク</t>
    </rPh>
    <rPh sb="3" eb="4">
      <t>ケイ</t>
    </rPh>
    <phoneticPr fontId="20"/>
  </si>
  <si>
    <t>攪拌翼幅</t>
    <rPh sb="0" eb="2">
      <t>カクハン</t>
    </rPh>
    <rPh sb="2" eb="3">
      <t>ヨク</t>
    </rPh>
    <rPh sb="3" eb="4">
      <t>ハバ</t>
    </rPh>
    <phoneticPr fontId="20"/>
  </si>
  <si>
    <t>羽根枚数</t>
    <rPh sb="0" eb="2">
      <t>ハネ</t>
    </rPh>
    <rPh sb="2" eb="4">
      <t>マイスウ</t>
    </rPh>
    <phoneticPr fontId="20"/>
  </si>
  <si>
    <t>パドル傾斜角</t>
    <rPh sb="3" eb="5">
      <t>ケイシャ</t>
    </rPh>
    <rPh sb="5" eb="6">
      <t>カク</t>
    </rPh>
    <phoneticPr fontId="20"/>
  </si>
  <si>
    <t>Bb</t>
    <phoneticPr fontId="20"/>
  </si>
  <si>
    <t>nb</t>
    <phoneticPr fontId="20"/>
  </si>
  <si>
    <t>d'</t>
    <phoneticPr fontId="20"/>
  </si>
  <si>
    <t>b</t>
    <phoneticPr fontId="20"/>
  </si>
  <si>
    <t>np</t>
    <phoneticPr fontId="20"/>
  </si>
  <si>
    <r>
      <rPr>
        <b/>
        <sz val="11"/>
        <rFont val="ＭＳ ゴシック"/>
        <family val="3"/>
        <charset val="128"/>
      </rPr>
      <t>回転数</t>
    </r>
    <r>
      <rPr>
        <b/>
        <sz val="11"/>
        <rFont val="Arial"/>
        <family val="2"/>
      </rPr>
      <t xml:space="preserve"> n</t>
    </r>
    <phoneticPr fontId="20"/>
  </si>
  <si>
    <t>kg/m3</t>
    <phoneticPr fontId="20"/>
  </si>
  <si>
    <t>攪拌翼幅補正</t>
    <rPh sb="0" eb="2">
      <t>カクハン</t>
    </rPh>
    <rPh sb="2" eb="3">
      <t>ヨク</t>
    </rPh>
    <rPh sb="3" eb="4">
      <t>ハバ</t>
    </rPh>
    <rPh sb="4" eb="6">
      <t>ホセイ</t>
    </rPh>
    <phoneticPr fontId="20"/>
  </si>
  <si>
    <t>b’</t>
    <phoneticPr fontId="20"/>
  </si>
  <si>
    <t>液深</t>
    <rPh sb="0" eb="1">
      <t>エキ</t>
    </rPh>
    <rPh sb="1" eb="2">
      <t>シン</t>
    </rPh>
    <phoneticPr fontId="20"/>
  </si>
  <si>
    <t>H</t>
    <phoneticPr fontId="20"/>
  </si>
  <si>
    <t>D[m]</t>
    <phoneticPr fontId="20"/>
  </si>
  <si>
    <t>Bb[m]</t>
    <phoneticPr fontId="20"/>
  </si>
  <si>
    <t>d'[m]</t>
    <phoneticPr fontId="20"/>
  </si>
  <si>
    <t>b[m]</t>
    <phoneticPr fontId="20"/>
  </si>
  <si>
    <t>攪拌層(大)</t>
    <rPh sb="0" eb="2">
      <t>カクハン</t>
    </rPh>
    <rPh sb="2" eb="3">
      <t>ソウ</t>
    </rPh>
    <rPh sb="4" eb="5">
      <t>ダイ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</si>
</sst>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0.000_ "/>
    <numFmt numFmtId="177" formatCode="0.0000_ "/>
    <numFmt numFmtId="178" formatCode="0.00_ "/>
    <numFmt numFmtId="179" formatCode="0.0_ "/>
    <numFmt numFmtId="180" formatCode="0.0"/>
    <numFmt numFmtId="181" formatCode="0.00.E+00"/>
    <numFmt numFmtId="182" formatCode="0.0.E+00"/>
    <numFmt numFmtId="183" formatCode="0_ "/>
    <numFmt numFmtId="184" formatCode="0.000"/>
    <numFmt numFmtId="185" formatCode="0.000E+00"/>
    <numFmt numFmtId="186" formatCode="0.0000_);[Red]\(0.0000\)"/>
    <numFmt numFmtId="187" formatCode="0_);[Red]\(0\)"/>
    <numFmt numFmtId="188" formatCode="0.0000.E+00"/>
    <numFmt numFmtId="189" formatCode="0.00000"/>
    <numFmt numFmtId="190" formatCode="0.0_);[Red]\(0.0\)"/>
    <numFmt numFmtId="191" formatCode="0.00_);[Red]\(0.00\)"/>
  </numFmts>
  <fonts count="3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  <scheme val="minor"/>
    </font>
    <font>
      <b/>
      <sz val="11"/>
      <name val="ＭＳ ゴシック"/>
      <family val="3"/>
      <charset val="128"/>
    </font>
    <font>
      <b/>
      <sz val="11"/>
      <name val="Arial"/>
      <family val="3"/>
      <charset val="128"/>
    </font>
    <font>
      <sz val="11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10" xfId="0" applyFont="1" applyBorder="1">
      <alignment vertical="center"/>
    </xf>
    <xf numFmtId="178" fontId="21" fillId="25" borderId="10" xfId="0" applyNumberFormat="1" applyFont="1" applyFill="1" applyBorder="1" applyAlignment="1">
      <alignment horizontal="center" vertical="center"/>
    </xf>
    <xf numFmtId="178" fontId="21" fillId="26" borderId="1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21" fillId="24" borderId="12" xfId="0" applyNumberFormat="1" applyFont="1" applyFill="1" applyBorder="1" applyAlignment="1">
      <alignment horizontal="center" vertical="center"/>
    </xf>
    <xf numFmtId="0" fontId="21" fillId="24" borderId="12" xfId="0" applyFont="1" applyFill="1" applyBorder="1" applyAlignment="1">
      <alignment horizontal="center" vertical="center" wrapText="1"/>
    </xf>
    <xf numFmtId="178" fontId="21" fillId="25" borderId="17" xfId="0" applyNumberFormat="1" applyFont="1" applyFill="1" applyBorder="1" applyAlignment="1">
      <alignment horizontal="center" vertical="center"/>
    </xf>
    <xf numFmtId="177" fontId="21" fillId="25" borderId="17" xfId="0" applyNumberFormat="1" applyFont="1" applyFill="1" applyBorder="1" applyAlignment="1">
      <alignment horizontal="center" vertical="center"/>
    </xf>
    <xf numFmtId="178" fontId="21" fillId="25" borderId="15" xfId="0" applyNumberFormat="1" applyFont="1" applyFill="1" applyBorder="1" applyAlignment="1">
      <alignment horizontal="center" vertical="center"/>
    </xf>
    <xf numFmtId="178" fontId="21" fillId="26" borderId="17" xfId="0" applyNumberFormat="1" applyFont="1" applyFill="1" applyBorder="1" applyAlignment="1">
      <alignment horizontal="center" vertical="center"/>
    </xf>
    <xf numFmtId="178" fontId="21" fillId="26" borderId="15" xfId="0" applyNumberFormat="1" applyFont="1" applyFill="1" applyBorder="1" applyAlignment="1">
      <alignment horizontal="center" vertical="center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179" fontId="21" fillId="25" borderId="27" xfId="0" applyNumberFormat="1" applyFont="1" applyFill="1" applyBorder="1" applyAlignment="1">
      <alignment horizontal="center" vertical="center"/>
    </xf>
    <xf numFmtId="179" fontId="21" fillId="25" borderId="28" xfId="0" applyNumberFormat="1" applyFont="1" applyFill="1" applyBorder="1" applyAlignment="1">
      <alignment horizontal="center" vertical="center"/>
    </xf>
    <xf numFmtId="179" fontId="21" fillId="25" borderId="29" xfId="0" applyNumberFormat="1" applyFont="1" applyFill="1" applyBorder="1" applyAlignment="1">
      <alignment horizontal="center" vertical="center"/>
    </xf>
    <xf numFmtId="179" fontId="21" fillId="26" borderId="27" xfId="0" applyNumberFormat="1" applyFont="1" applyFill="1" applyBorder="1" applyAlignment="1">
      <alignment horizontal="center" vertical="center"/>
    </xf>
    <xf numFmtId="179" fontId="21" fillId="26" borderId="28" xfId="0" applyNumberFormat="1" applyFont="1" applyFill="1" applyBorder="1" applyAlignment="1">
      <alignment horizontal="center" vertical="center"/>
    </xf>
    <xf numFmtId="179" fontId="21" fillId="26" borderId="29" xfId="0" applyNumberFormat="1" applyFont="1" applyFill="1" applyBorder="1" applyAlignment="1">
      <alignment horizontal="center" vertical="center"/>
    </xf>
    <xf numFmtId="179" fontId="21" fillId="27" borderId="27" xfId="0" applyNumberFormat="1" applyFont="1" applyFill="1" applyBorder="1" applyAlignment="1">
      <alignment horizontal="center" vertical="center"/>
    </xf>
    <xf numFmtId="179" fontId="21" fillId="27" borderId="28" xfId="0" applyNumberFormat="1" applyFont="1" applyFill="1" applyBorder="1" applyAlignment="1">
      <alignment horizontal="center" vertical="center"/>
    </xf>
    <xf numFmtId="179" fontId="21" fillId="27" borderId="29" xfId="0" applyNumberFormat="1" applyFont="1" applyFill="1" applyBorder="1" applyAlignment="1">
      <alignment horizontal="center" vertical="center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179" fontId="21" fillId="25" borderId="36" xfId="0" applyNumberFormat="1" applyFont="1" applyFill="1" applyBorder="1" applyAlignment="1">
      <alignment horizontal="center" vertical="center"/>
    </xf>
    <xf numFmtId="178" fontId="21" fillId="25" borderId="11" xfId="0" applyNumberFormat="1" applyFont="1" applyFill="1" applyBorder="1" applyAlignment="1">
      <alignment horizontal="center" vertical="center"/>
    </xf>
    <xf numFmtId="181" fontId="21" fillId="24" borderId="12" xfId="0" applyNumberFormat="1" applyFont="1" applyFill="1" applyBorder="1" applyAlignment="1">
      <alignment horizontal="center" vertical="center" wrapText="1"/>
    </xf>
    <xf numFmtId="181" fontId="21" fillId="25" borderId="17" xfId="0" applyNumberFormat="1" applyFont="1" applyFill="1" applyBorder="1" applyAlignment="1">
      <alignment horizontal="center" vertical="center"/>
    </xf>
    <xf numFmtId="181" fontId="21" fillId="25" borderId="10" xfId="0" applyNumberFormat="1" applyFont="1" applyFill="1" applyBorder="1" applyAlignment="1">
      <alignment horizontal="center" vertical="center"/>
    </xf>
    <xf numFmtId="181" fontId="21" fillId="25" borderId="15" xfId="0" applyNumberFormat="1" applyFont="1" applyFill="1" applyBorder="1" applyAlignment="1">
      <alignment horizontal="center" vertical="center"/>
    </xf>
    <xf numFmtId="181" fontId="21" fillId="26" borderId="17" xfId="0" applyNumberFormat="1" applyFont="1" applyFill="1" applyBorder="1" applyAlignment="1">
      <alignment horizontal="center" vertical="center"/>
    </xf>
    <xf numFmtId="181" fontId="21" fillId="26" borderId="10" xfId="0" applyNumberFormat="1" applyFont="1" applyFill="1" applyBorder="1" applyAlignment="1">
      <alignment horizontal="center" vertical="center"/>
    </xf>
    <xf numFmtId="181" fontId="21" fillId="26" borderId="15" xfId="0" applyNumberFormat="1" applyFont="1" applyFill="1" applyBorder="1" applyAlignment="1">
      <alignment horizontal="center" vertical="center"/>
    </xf>
    <xf numFmtId="181" fontId="21" fillId="27" borderId="17" xfId="0" applyNumberFormat="1" applyFont="1" applyFill="1" applyBorder="1" applyAlignment="1">
      <alignment horizontal="center" vertical="center"/>
    </xf>
    <xf numFmtId="181" fontId="21" fillId="27" borderId="10" xfId="0" applyNumberFormat="1" applyFont="1" applyFill="1" applyBorder="1" applyAlignment="1">
      <alignment horizontal="center" vertical="center"/>
    </xf>
    <xf numFmtId="181" fontId="21" fillId="27" borderId="15" xfId="0" applyNumberFormat="1" applyFont="1" applyFill="1" applyBorder="1" applyAlignment="1">
      <alignment horizontal="center" vertical="center"/>
    </xf>
    <xf numFmtId="2" fontId="21" fillId="27" borderId="10" xfId="0" applyNumberFormat="1" applyFont="1" applyFill="1" applyBorder="1" applyAlignment="1">
      <alignment horizontal="center" vertical="center"/>
    </xf>
    <xf numFmtId="2" fontId="21" fillId="27" borderId="15" xfId="0" applyNumberFormat="1" applyFont="1" applyFill="1" applyBorder="1" applyAlignment="1">
      <alignment horizontal="center" vertical="center"/>
    </xf>
    <xf numFmtId="176" fontId="21" fillId="25" borderId="17" xfId="0" applyNumberFormat="1" applyFont="1" applyFill="1" applyBorder="1" applyAlignment="1">
      <alignment horizontal="center" vertical="center"/>
    </xf>
    <xf numFmtId="179" fontId="21" fillId="24" borderId="26" xfId="0" applyNumberFormat="1" applyFont="1" applyFill="1" applyBorder="1" applyAlignment="1">
      <alignment horizontal="center" vertical="center"/>
    </xf>
    <xf numFmtId="178" fontId="21" fillId="24" borderId="13" xfId="0" applyNumberFormat="1" applyFont="1" applyFill="1" applyBorder="1" applyAlignment="1">
      <alignment horizontal="center" vertical="center" wrapText="1"/>
    </xf>
    <xf numFmtId="179" fontId="22" fillId="25" borderId="34" xfId="0" applyNumberFormat="1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179" fontId="22" fillId="28" borderId="35" xfId="0" applyNumberFormat="1" applyFont="1" applyFill="1" applyBorder="1" applyAlignment="1">
      <alignment horizontal="center" vertical="center" wrapText="1"/>
    </xf>
    <xf numFmtId="179" fontId="21" fillId="28" borderId="29" xfId="0" applyNumberFormat="1" applyFont="1" applyFill="1" applyBorder="1" applyAlignment="1">
      <alignment horizontal="center" vertical="center"/>
    </xf>
    <xf numFmtId="178" fontId="21" fillId="28" borderId="15" xfId="0" applyNumberFormat="1" applyFont="1" applyFill="1" applyBorder="1" applyAlignment="1">
      <alignment horizontal="center" vertical="center"/>
    </xf>
    <xf numFmtId="177" fontId="21" fillId="28" borderId="15" xfId="0" applyNumberFormat="1" applyFont="1" applyFill="1" applyBorder="1" applyAlignment="1">
      <alignment horizontal="center" vertical="center"/>
    </xf>
    <xf numFmtId="178" fontId="21" fillId="27" borderId="15" xfId="0" applyNumberFormat="1" applyFont="1" applyFill="1" applyBorder="1" applyAlignment="1">
      <alignment horizontal="center" vertical="center"/>
    </xf>
    <xf numFmtId="0" fontId="23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181" fontId="21" fillId="28" borderId="15" xfId="0" applyNumberFormat="1" applyFont="1" applyFill="1" applyBorder="1" applyAlignment="1">
      <alignment horizontal="center" vertical="center"/>
    </xf>
    <xf numFmtId="183" fontId="21" fillId="25" borderId="17" xfId="0" applyNumberFormat="1" applyFont="1" applyFill="1" applyBorder="1" applyAlignment="1">
      <alignment horizontal="center" vertical="center"/>
    </xf>
    <xf numFmtId="176" fontId="21" fillId="28" borderId="15" xfId="0" applyNumberFormat="1" applyFont="1" applyFill="1" applyBorder="1" applyAlignment="1">
      <alignment horizontal="center" vertical="center"/>
    </xf>
    <xf numFmtId="181" fontId="21" fillId="25" borderId="11" xfId="0" applyNumberFormat="1" applyFont="1" applyFill="1" applyBorder="1" applyAlignment="1">
      <alignment horizontal="center" vertical="center"/>
    </xf>
    <xf numFmtId="176" fontId="21" fillId="25" borderId="37" xfId="0" applyNumberFormat="1" applyFont="1" applyFill="1" applyBorder="1" applyAlignment="1">
      <alignment horizontal="center" vertical="center"/>
    </xf>
    <xf numFmtId="176" fontId="21" fillId="25" borderId="16" xfId="0" applyNumberFormat="1" applyFont="1" applyFill="1" applyBorder="1" applyAlignment="1">
      <alignment horizontal="center" vertical="center"/>
    </xf>
    <xf numFmtId="178" fontId="21" fillId="25" borderId="18" xfId="0" applyNumberFormat="1" applyFont="1" applyFill="1" applyBorder="1" applyAlignment="1">
      <alignment horizontal="center" vertical="center"/>
    </xf>
    <xf numFmtId="178" fontId="21" fillId="25" borderId="14" xfId="0" applyNumberFormat="1" applyFont="1" applyFill="1" applyBorder="1" applyAlignment="1">
      <alignment horizontal="center" vertical="center"/>
    </xf>
    <xf numFmtId="178" fontId="21" fillId="25" borderId="37" xfId="0" applyNumberFormat="1" applyFont="1" applyFill="1" applyBorder="1" applyAlignment="1">
      <alignment horizontal="center" vertical="center"/>
    </xf>
    <xf numFmtId="176" fontId="21" fillId="26" borderId="14" xfId="0" applyNumberFormat="1" applyFont="1" applyFill="1" applyBorder="1" applyAlignment="1">
      <alignment horizontal="center" vertical="center"/>
    </xf>
    <xf numFmtId="176" fontId="21" fillId="26" borderId="16" xfId="0" applyNumberFormat="1" applyFont="1" applyFill="1" applyBorder="1" applyAlignment="1">
      <alignment horizontal="center" vertical="center"/>
    </xf>
    <xf numFmtId="178" fontId="21" fillId="26" borderId="18" xfId="0" applyNumberFormat="1" applyFont="1" applyFill="1" applyBorder="1" applyAlignment="1">
      <alignment horizontal="center" vertical="center"/>
    </xf>
    <xf numFmtId="178" fontId="21" fillId="26" borderId="14" xfId="0" applyNumberFormat="1" applyFont="1" applyFill="1" applyBorder="1" applyAlignment="1">
      <alignment horizontal="center" vertical="center"/>
    </xf>
    <xf numFmtId="178" fontId="21" fillId="27" borderId="17" xfId="0" applyNumberFormat="1" applyFont="1" applyFill="1" applyBorder="1" applyAlignment="1">
      <alignment horizontal="center" vertical="center"/>
    </xf>
    <xf numFmtId="178" fontId="21" fillId="27" borderId="10" xfId="0" applyNumberFormat="1" applyFont="1" applyFill="1" applyBorder="1" applyAlignment="1">
      <alignment horizontal="center" vertical="center"/>
    </xf>
    <xf numFmtId="183" fontId="21" fillId="27" borderId="17" xfId="0" applyNumberFormat="1" applyFont="1" applyFill="1" applyBorder="1" applyAlignment="1">
      <alignment horizontal="center" vertical="center"/>
    </xf>
    <xf numFmtId="183" fontId="21" fillId="27" borderId="10" xfId="0" applyNumberFormat="1" applyFont="1" applyFill="1" applyBorder="1" applyAlignment="1">
      <alignment horizontal="center" vertical="center"/>
    </xf>
    <xf numFmtId="183" fontId="21" fillId="27" borderId="15" xfId="0" applyNumberFormat="1" applyFont="1" applyFill="1" applyBorder="1" applyAlignment="1">
      <alignment horizontal="center" vertical="center"/>
    </xf>
    <xf numFmtId="178" fontId="21" fillId="27" borderId="14" xfId="0" applyNumberFormat="1" applyFont="1" applyFill="1" applyBorder="1" applyAlignment="1">
      <alignment horizontal="center" vertical="center"/>
    </xf>
    <xf numFmtId="178" fontId="21" fillId="27" borderId="16" xfId="0" applyNumberFormat="1" applyFont="1" applyFill="1" applyBorder="1" applyAlignment="1">
      <alignment horizontal="center" vertical="center"/>
    </xf>
    <xf numFmtId="179" fontId="21" fillId="27" borderId="18" xfId="0" applyNumberFormat="1" applyFont="1" applyFill="1" applyBorder="1" applyAlignment="1">
      <alignment horizontal="center" vertical="center"/>
    </xf>
    <xf numFmtId="2" fontId="21" fillId="27" borderId="17" xfId="0" applyNumberFormat="1" applyFont="1" applyFill="1" applyBorder="1" applyAlignment="1">
      <alignment horizontal="center" vertical="center"/>
    </xf>
    <xf numFmtId="180" fontId="21" fillId="0" borderId="0" xfId="0" applyNumberFormat="1" applyFont="1">
      <alignment vertical="center"/>
    </xf>
    <xf numFmtId="2" fontId="21" fillId="0" borderId="0" xfId="0" applyNumberFormat="1" applyFont="1">
      <alignment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179" fontId="21" fillId="0" borderId="0" xfId="0" applyNumberFormat="1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85" fontId="21" fillId="0" borderId="0" xfId="0" applyNumberFormat="1" applyFont="1" applyFill="1" applyAlignment="1">
      <alignment horizontal="center" vertical="center" wrapText="1"/>
    </xf>
    <xf numFmtId="178" fontId="21" fillId="24" borderId="38" xfId="0" applyNumberFormat="1" applyFont="1" applyFill="1" applyBorder="1" applyAlignment="1">
      <alignment horizontal="center" vertical="center"/>
    </xf>
    <xf numFmtId="184" fontId="21" fillId="0" borderId="0" xfId="0" applyNumberFormat="1" applyFont="1">
      <alignment vertical="center"/>
    </xf>
    <xf numFmtId="0" fontId="22" fillId="0" borderId="0" xfId="0" applyFont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3" fillId="0" borderId="19" xfId="0" applyFont="1" applyBorder="1" applyAlignment="1">
      <alignment horizontal="center" vertical="center"/>
    </xf>
    <xf numFmtId="0" fontId="21" fillId="0" borderId="33" xfId="0" applyFont="1" applyBorder="1">
      <alignment vertical="center"/>
    </xf>
    <xf numFmtId="0" fontId="21" fillId="0" borderId="31" xfId="0" applyFont="1" applyBorder="1">
      <alignment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43" xfId="0" applyFont="1" applyBorder="1">
      <alignment vertical="center"/>
    </xf>
    <xf numFmtId="0" fontId="23" fillId="0" borderId="43" xfId="0" applyFont="1" applyBorder="1" applyAlignment="1">
      <alignment horizontal="center" vertical="center" wrapText="1"/>
    </xf>
    <xf numFmtId="0" fontId="23" fillId="0" borderId="19" xfId="0" applyFont="1" applyBorder="1">
      <alignment vertical="center"/>
    </xf>
    <xf numFmtId="0" fontId="23" fillId="0" borderId="19" xfId="0" applyFont="1" applyBorder="1" applyAlignment="1">
      <alignment horizontal="center" vertical="center" wrapText="1"/>
    </xf>
    <xf numFmtId="183" fontId="21" fillId="25" borderId="10" xfId="0" applyNumberFormat="1" applyFont="1" applyFill="1" applyBorder="1" applyAlignment="1">
      <alignment horizontal="center" vertical="center"/>
    </xf>
    <xf numFmtId="183" fontId="21" fillId="25" borderId="11" xfId="0" applyNumberFormat="1" applyFont="1" applyFill="1" applyBorder="1" applyAlignment="1">
      <alignment horizontal="center" vertical="center"/>
    </xf>
    <xf numFmtId="183" fontId="21" fillId="25" borderId="15" xfId="0" applyNumberFormat="1" applyFont="1" applyFill="1" applyBorder="1" applyAlignment="1">
      <alignment horizontal="center" vertical="center"/>
    </xf>
    <xf numFmtId="183" fontId="21" fillId="26" borderId="17" xfId="0" applyNumberFormat="1" applyFont="1" applyFill="1" applyBorder="1" applyAlignment="1">
      <alignment horizontal="center" vertical="center"/>
    </xf>
    <xf numFmtId="183" fontId="21" fillId="26" borderId="10" xfId="0" applyNumberFormat="1" applyFont="1" applyFill="1" applyBorder="1" applyAlignment="1">
      <alignment horizontal="center" vertical="center"/>
    </xf>
    <xf numFmtId="183" fontId="21" fillId="26" borderId="15" xfId="0" applyNumberFormat="1" applyFont="1" applyFill="1" applyBorder="1" applyAlignment="1">
      <alignment horizontal="center" vertical="center"/>
    </xf>
    <xf numFmtId="186" fontId="21" fillId="27" borderId="17" xfId="0" applyNumberFormat="1" applyFont="1" applyFill="1" applyBorder="1" applyAlignment="1">
      <alignment horizontal="center" vertical="center"/>
    </xf>
    <xf numFmtId="186" fontId="21" fillId="27" borderId="10" xfId="0" applyNumberFormat="1" applyFont="1" applyFill="1" applyBorder="1" applyAlignment="1">
      <alignment horizontal="center" vertical="center"/>
    </xf>
    <xf numFmtId="186" fontId="21" fillId="25" borderId="17" xfId="0" applyNumberFormat="1" applyFont="1" applyFill="1" applyBorder="1" applyAlignment="1">
      <alignment horizontal="center" vertical="center"/>
    </xf>
    <xf numFmtId="186" fontId="21" fillId="25" borderId="10" xfId="0" applyNumberFormat="1" applyFont="1" applyFill="1" applyBorder="1" applyAlignment="1">
      <alignment horizontal="center" vertical="center"/>
    </xf>
    <xf numFmtId="186" fontId="21" fillId="25" borderId="11" xfId="0" applyNumberFormat="1" applyFont="1" applyFill="1" applyBorder="1" applyAlignment="1">
      <alignment horizontal="center" vertical="center"/>
    </xf>
    <xf numFmtId="186" fontId="21" fillId="26" borderId="17" xfId="0" applyNumberFormat="1" applyFont="1" applyFill="1" applyBorder="1" applyAlignment="1">
      <alignment horizontal="center" vertical="center"/>
    </xf>
    <xf numFmtId="186" fontId="21" fillId="26" borderId="10" xfId="0" applyNumberFormat="1" applyFont="1" applyFill="1" applyBorder="1" applyAlignment="1">
      <alignment horizontal="center" vertical="center"/>
    </xf>
    <xf numFmtId="186" fontId="21" fillId="26" borderId="15" xfId="0" applyNumberFormat="1" applyFont="1" applyFill="1" applyBorder="1" applyAlignment="1">
      <alignment horizontal="center" vertical="center"/>
    </xf>
    <xf numFmtId="186" fontId="21" fillId="27" borderId="15" xfId="0" applyNumberFormat="1" applyFont="1" applyFill="1" applyBorder="1" applyAlignment="1">
      <alignment horizontal="center" vertical="center"/>
    </xf>
    <xf numFmtId="186" fontId="21" fillId="25" borderId="15" xfId="0" applyNumberFormat="1" applyFont="1" applyFill="1" applyBorder="1" applyAlignment="1">
      <alignment horizontal="center" vertical="center"/>
    </xf>
    <xf numFmtId="183" fontId="21" fillId="24" borderId="12" xfId="0" applyNumberFormat="1" applyFont="1" applyFill="1" applyBorder="1" applyAlignment="1">
      <alignment horizontal="center" vertical="center"/>
    </xf>
    <xf numFmtId="1" fontId="21" fillId="25" borderId="41" xfId="0" applyNumberFormat="1" applyFont="1" applyFill="1" applyBorder="1" applyAlignment="1">
      <alignment horizontal="center" vertical="center"/>
    </xf>
    <xf numFmtId="1" fontId="21" fillId="28" borderId="42" xfId="0" applyNumberFormat="1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1" fillId="29" borderId="0" xfId="0" applyFont="1" applyFill="1">
      <alignment vertical="center"/>
    </xf>
    <xf numFmtId="179" fontId="21" fillId="25" borderId="34" xfId="0" applyNumberFormat="1" applyFont="1" applyFill="1" applyBorder="1" applyAlignment="1">
      <alignment horizontal="center" vertical="center"/>
    </xf>
    <xf numFmtId="179" fontId="21" fillId="28" borderId="35" xfId="0" applyNumberFormat="1" applyFont="1" applyFill="1" applyBorder="1" applyAlignment="1">
      <alignment horizontal="center" vertical="center"/>
    </xf>
    <xf numFmtId="183" fontId="21" fillId="28" borderId="15" xfId="0" applyNumberFormat="1" applyFont="1" applyFill="1" applyBorder="1" applyAlignment="1">
      <alignment horizontal="center" vertical="center"/>
    </xf>
    <xf numFmtId="178" fontId="26" fillId="24" borderId="19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</xf>
    <xf numFmtId="0" fontId="0" fillId="30" borderId="0" xfId="0" applyFill="1" applyProtection="1">
      <alignment vertical="center"/>
    </xf>
    <xf numFmtId="0" fontId="28" fillId="31" borderId="45" xfId="0" applyFont="1" applyFill="1" applyBorder="1" applyAlignment="1" applyProtection="1">
      <alignment horizontal="center" vertical="center"/>
    </xf>
    <xf numFmtId="0" fontId="28" fillId="31" borderId="46" xfId="0" applyFont="1" applyFill="1" applyBorder="1" applyAlignment="1" applyProtection="1">
      <alignment horizontal="center" vertical="center"/>
    </xf>
    <xf numFmtId="0" fontId="28" fillId="31" borderId="19" xfId="0" applyFont="1" applyFill="1" applyBorder="1" applyAlignment="1" applyProtection="1">
      <alignment horizontal="center" vertical="center"/>
    </xf>
    <xf numFmtId="0" fontId="28" fillId="31" borderId="43" xfId="0" applyFont="1" applyFill="1" applyBorder="1" applyAlignment="1" applyProtection="1">
      <alignment horizontal="center" vertical="center"/>
    </xf>
    <xf numFmtId="0" fontId="29" fillId="0" borderId="43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horizontal="center" vertical="center"/>
      <protection locked="0"/>
    </xf>
    <xf numFmtId="0" fontId="29" fillId="0" borderId="47" xfId="0" applyFont="1" applyFill="1" applyBorder="1" applyAlignment="1" applyProtection="1">
      <alignment horizontal="center" vertical="center"/>
      <protection locked="0"/>
    </xf>
    <xf numFmtId="0" fontId="30" fillId="30" borderId="0" xfId="0" applyFont="1" applyFill="1" applyProtection="1">
      <alignment vertical="center"/>
    </xf>
    <xf numFmtId="0" fontId="31" fillId="0" borderId="0" xfId="0" applyFont="1" applyFill="1" applyProtection="1">
      <alignment vertical="center"/>
    </xf>
    <xf numFmtId="179" fontId="0" fillId="33" borderId="0" xfId="0" applyNumberFormat="1" applyFill="1" applyBorder="1" applyProtection="1">
      <alignment vertical="center"/>
    </xf>
    <xf numFmtId="183" fontId="0" fillId="33" borderId="0" xfId="0" applyNumberFormat="1" applyFill="1" applyBorder="1" applyProtection="1">
      <alignment vertical="center"/>
    </xf>
    <xf numFmtId="178" fontId="0" fillId="33" borderId="0" xfId="0" applyNumberFormat="1" applyFill="1" applyBorder="1" applyProtection="1">
      <alignment vertical="center"/>
    </xf>
    <xf numFmtId="176" fontId="0" fillId="33" borderId="48" xfId="0" applyNumberFormat="1" applyFill="1" applyBorder="1" applyProtection="1">
      <alignment vertical="center"/>
    </xf>
    <xf numFmtId="179" fontId="0" fillId="33" borderId="44" xfId="0" applyNumberFormat="1" applyFill="1" applyBorder="1" applyProtection="1">
      <alignment vertical="center"/>
    </xf>
    <xf numFmtId="183" fontId="0" fillId="33" borderId="44" xfId="0" applyNumberFormat="1" applyFill="1" applyBorder="1" applyProtection="1">
      <alignment vertical="center"/>
    </xf>
    <xf numFmtId="178" fontId="0" fillId="33" borderId="44" xfId="0" applyNumberFormat="1" applyFill="1" applyBorder="1" applyProtection="1">
      <alignment vertical="center"/>
    </xf>
    <xf numFmtId="176" fontId="0" fillId="33" borderId="49" xfId="0" applyNumberFormat="1" applyFill="1" applyBorder="1" applyProtection="1">
      <alignment vertical="center"/>
    </xf>
    <xf numFmtId="179" fontId="0" fillId="27" borderId="50" xfId="0" applyNumberFormat="1" applyFill="1" applyBorder="1" applyProtection="1">
      <alignment vertical="center"/>
    </xf>
    <xf numFmtId="183" fontId="0" fillId="27" borderId="50" xfId="0" applyNumberFormat="1" applyFill="1" applyBorder="1" applyProtection="1">
      <alignment vertical="center"/>
    </xf>
    <xf numFmtId="178" fontId="0" fillId="27" borderId="50" xfId="0" applyNumberFormat="1" applyFill="1" applyBorder="1" applyProtection="1">
      <alignment vertical="center"/>
    </xf>
    <xf numFmtId="176" fontId="0" fillId="27" borderId="51" xfId="0" applyNumberFormat="1" applyFill="1" applyBorder="1" applyProtection="1">
      <alignment vertical="center"/>
    </xf>
    <xf numFmtId="179" fontId="0" fillId="27" borderId="0" xfId="0" applyNumberFormat="1" applyFill="1" applyBorder="1" applyProtection="1">
      <alignment vertical="center"/>
    </xf>
    <xf numFmtId="183" fontId="0" fillId="27" borderId="0" xfId="0" applyNumberFormat="1" applyFill="1" applyBorder="1" applyProtection="1">
      <alignment vertical="center"/>
    </xf>
    <xf numFmtId="178" fontId="0" fillId="27" borderId="0" xfId="0" applyNumberFormat="1" applyFill="1" applyBorder="1" applyProtection="1">
      <alignment vertical="center"/>
    </xf>
    <xf numFmtId="176" fontId="0" fillId="27" borderId="48" xfId="0" applyNumberFormat="1" applyFill="1" applyBorder="1" applyProtection="1">
      <alignment vertical="center"/>
    </xf>
    <xf numFmtId="179" fontId="0" fillId="27" borderId="44" xfId="0" applyNumberFormat="1" applyFill="1" applyBorder="1" applyProtection="1">
      <alignment vertical="center"/>
    </xf>
    <xf numFmtId="183" fontId="0" fillId="27" borderId="44" xfId="0" applyNumberFormat="1" applyFill="1" applyBorder="1" applyProtection="1">
      <alignment vertical="center"/>
    </xf>
    <xf numFmtId="178" fontId="0" fillId="27" borderId="44" xfId="0" applyNumberFormat="1" applyFill="1" applyBorder="1" applyProtection="1">
      <alignment vertical="center"/>
    </xf>
    <xf numFmtId="176" fontId="0" fillId="27" borderId="49" xfId="0" applyNumberFormat="1" applyFill="1" applyBorder="1" applyProtection="1">
      <alignment vertical="center"/>
    </xf>
    <xf numFmtId="176" fontId="0" fillId="0" borderId="0" xfId="0" applyNumberFormat="1" applyFill="1" applyBorder="1" applyProtection="1">
      <alignment vertical="center"/>
    </xf>
    <xf numFmtId="0" fontId="32" fillId="30" borderId="0" xfId="0" applyFont="1" applyFill="1" applyProtection="1">
      <alignment vertical="center"/>
    </xf>
    <xf numFmtId="0" fontId="28" fillId="30" borderId="0" xfId="0" applyFont="1" applyFill="1" applyProtection="1">
      <alignment vertical="center"/>
    </xf>
    <xf numFmtId="179" fontId="0" fillId="28" borderId="0" xfId="0" applyNumberFormat="1" applyFill="1" applyBorder="1" applyProtection="1">
      <alignment vertical="center"/>
    </xf>
    <xf numFmtId="178" fontId="0" fillId="28" borderId="0" xfId="0" applyNumberFormat="1" applyFill="1" applyBorder="1" applyProtection="1">
      <alignment vertical="center"/>
    </xf>
    <xf numFmtId="179" fontId="0" fillId="33" borderId="50" xfId="0" applyNumberFormat="1" applyFill="1" applyBorder="1" applyProtection="1">
      <alignment vertical="center"/>
    </xf>
    <xf numFmtId="178" fontId="0" fillId="33" borderId="50" xfId="0" applyNumberFormat="1" applyFill="1" applyBorder="1" applyProtection="1">
      <alignment vertical="center"/>
    </xf>
    <xf numFmtId="176" fontId="0" fillId="33" borderId="51" xfId="0" applyNumberFormat="1" applyFill="1" applyBorder="1" applyProtection="1">
      <alignment vertical="center"/>
    </xf>
    <xf numFmtId="179" fontId="0" fillId="28" borderId="50" xfId="0" applyNumberFormat="1" applyFill="1" applyBorder="1" applyProtection="1">
      <alignment vertical="center"/>
    </xf>
    <xf numFmtId="178" fontId="0" fillId="28" borderId="50" xfId="0" applyNumberFormat="1" applyFill="1" applyBorder="1" applyProtection="1">
      <alignment vertical="center"/>
    </xf>
    <xf numFmtId="176" fontId="0" fillId="28" borderId="51" xfId="0" applyNumberFormat="1" applyFill="1" applyBorder="1" applyProtection="1">
      <alignment vertical="center"/>
    </xf>
    <xf numFmtId="176" fontId="0" fillId="28" borderId="48" xfId="0" applyNumberFormat="1" applyFill="1" applyBorder="1" applyProtection="1">
      <alignment vertical="center"/>
    </xf>
    <xf numFmtId="179" fontId="0" fillId="28" borderId="44" xfId="0" applyNumberFormat="1" applyFill="1" applyBorder="1" applyProtection="1">
      <alignment vertical="center"/>
    </xf>
    <xf numFmtId="178" fontId="0" fillId="28" borderId="44" xfId="0" applyNumberFormat="1" applyFill="1" applyBorder="1" applyProtection="1">
      <alignment vertical="center"/>
    </xf>
    <xf numFmtId="176" fontId="0" fillId="28" borderId="49" xfId="0" applyNumberFormat="1" applyFill="1" applyBorder="1" applyProtection="1">
      <alignment vertical="center"/>
    </xf>
    <xf numFmtId="183" fontId="0" fillId="33" borderId="50" xfId="0" applyNumberFormat="1" applyFill="1" applyBorder="1" applyProtection="1">
      <alignment vertical="center"/>
    </xf>
    <xf numFmtId="183" fontId="0" fillId="28" borderId="50" xfId="0" applyNumberFormat="1" applyFill="1" applyBorder="1" applyProtection="1">
      <alignment vertical="center"/>
    </xf>
    <xf numFmtId="183" fontId="0" fillId="28" borderId="0" xfId="0" applyNumberFormat="1" applyFill="1" applyBorder="1" applyProtection="1">
      <alignment vertical="center"/>
    </xf>
    <xf numFmtId="183" fontId="0" fillId="28" borderId="44" xfId="0" applyNumberFormat="1" applyFill="1" applyBorder="1" applyProtection="1">
      <alignment vertical="center"/>
    </xf>
    <xf numFmtId="0" fontId="0" fillId="32" borderId="50" xfId="0" applyFill="1" applyBorder="1" applyAlignment="1" applyProtection="1">
      <alignment horizontal="center" vertical="center" wrapText="1"/>
    </xf>
    <xf numFmtId="0" fontId="0" fillId="32" borderId="51" xfId="0" applyFill="1" applyBorder="1" applyAlignment="1" applyProtection="1">
      <alignment vertical="center" wrapText="1"/>
    </xf>
    <xf numFmtId="0" fontId="0" fillId="32" borderId="32" xfId="0" applyFill="1" applyBorder="1" applyAlignment="1" applyProtection="1">
      <alignment horizontal="center" vertical="center" wrapText="1"/>
    </xf>
    <xf numFmtId="0" fontId="33" fillId="30" borderId="0" xfId="0" applyFont="1" applyFill="1" applyProtection="1">
      <alignment vertical="center"/>
    </xf>
    <xf numFmtId="0" fontId="34" fillId="30" borderId="0" xfId="0" applyFont="1" applyFill="1" applyProtection="1">
      <alignment vertical="center"/>
    </xf>
    <xf numFmtId="0" fontId="21" fillId="26" borderId="17" xfId="0" applyNumberFormat="1" applyFont="1" applyFill="1" applyBorder="1" applyAlignment="1">
      <alignment horizontal="center" vertical="center"/>
    </xf>
    <xf numFmtId="0" fontId="21" fillId="26" borderId="10" xfId="0" applyNumberFormat="1" applyFont="1" applyFill="1" applyBorder="1" applyAlignment="1">
      <alignment horizontal="center" vertical="center"/>
    </xf>
    <xf numFmtId="0" fontId="21" fillId="26" borderId="15" xfId="0" applyNumberFormat="1" applyFont="1" applyFill="1" applyBorder="1" applyAlignment="1">
      <alignment horizontal="center" vertical="center"/>
    </xf>
    <xf numFmtId="2" fontId="21" fillId="26" borderId="17" xfId="0" applyNumberFormat="1" applyFont="1" applyFill="1" applyBorder="1" applyAlignment="1">
      <alignment horizontal="center" vertical="center"/>
    </xf>
    <xf numFmtId="2" fontId="21" fillId="26" borderId="10" xfId="0" applyNumberFormat="1" applyFont="1" applyFill="1" applyBorder="1" applyAlignment="1">
      <alignment horizontal="center" vertical="center"/>
    </xf>
    <xf numFmtId="2" fontId="21" fillId="26" borderId="15" xfId="0" applyNumberFormat="1" applyFont="1" applyFill="1" applyBorder="1" applyAlignment="1">
      <alignment horizontal="center" vertical="center"/>
    </xf>
    <xf numFmtId="178" fontId="21" fillId="26" borderId="16" xfId="0" applyNumberFormat="1" applyFont="1" applyFill="1" applyBorder="1" applyAlignment="1">
      <alignment horizontal="center" vertical="center"/>
    </xf>
    <xf numFmtId="183" fontId="21" fillId="26" borderId="18" xfId="0" applyNumberFormat="1" applyFont="1" applyFill="1" applyBorder="1" applyAlignment="1">
      <alignment horizontal="center" vertical="center"/>
    </xf>
    <xf numFmtId="183" fontId="21" fillId="26" borderId="14" xfId="0" applyNumberFormat="1" applyFont="1" applyFill="1" applyBorder="1" applyAlignment="1">
      <alignment horizontal="center" vertical="center"/>
    </xf>
    <xf numFmtId="183" fontId="21" fillId="26" borderId="16" xfId="0" applyNumberFormat="1" applyFont="1" applyFill="1" applyBorder="1" applyAlignment="1">
      <alignment horizontal="center" vertical="center"/>
    </xf>
    <xf numFmtId="181" fontId="21" fillId="26" borderId="18" xfId="0" applyNumberFormat="1" applyFont="1" applyFill="1" applyBorder="1" applyAlignment="1">
      <alignment horizontal="center" vertical="center"/>
    </xf>
    <xf numFmtId="181" fontId="21" fillId="26" borderId="14" xfId="0" applyNumberFormat="1" applyFont="1" applyFill="1" applyBorder="1" applyAlignment="1">
      <alignment horizontal="center" vertical="center"/>
    </xf>
    <xf numFmtId="181" fontId="21" fillId="26" borderId="16" xfId="0" applyNumberFormat="1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 wrapText="1"/>
    </xf>
    <xf numFmtId="187" fontId="21" fillId="24" borderId="12" xfId="0" applyNumberFormat="1" applyFont="1" applyFill="1" applyBorder="1" applyAlignment="1">
      <alignment horizontal="center" vertical="center" wrapText="1"/>
    </xf>
    <xf numFmtId="188" fontId="21" fillId="27" borderId="10" xfId="0" applyNumberFormat="1" applyFont="1" applyFill="1" applyBorder="1" applyAlignment="1">
      <alignment horizontal="center" vertical="center"/>
    </xf>
    <xf numFmtId="178" fontId="21" fillId="27" borderId="18" xfId="0" applyNumberFormat="1" applyFont="1" applyFill="1" applyBorder="1" applyAlignment="1">
      <alignment horizontal="center" vertical="center"/>
    </xf>
    <xf numFmtId="178" fontId="21" fillId="25" borderId="16" xfId="0" applyNumberFormat="1" applyFont="1" applyFill="1" applyBorder="1" applyAlignment="1">
      <alignment horizontal="center" vertical="center"/>
    </xf>
    <xf numFmtId="182" fontId="21" fillId="25" borderId="17" xfId="0" applyNumberFormat="1" applyFont="1" applyFill="1" applyBorder="1" applyAlignment="1">
      <alignment horizontal="center" vertical="center"/>
    </xf>
    <xf numFmtId="189" fontId="21" fillId="25" borderId="18" xfId="0" applyNumberFormat="1" applyFont="1" applyFill="1" applyBorder="1" applyAlignment="1">
      <alignment horizontal="center" vertical="center"/>
    </xf>
    <xf numFmtId="189" fontId="21" fillId="26" borderId="10" xfId="0" applyNumberFormat="1" applyFont="1" applyFill="1" applyBorder="1" applyAlignment="1">
      <alignment horizontal="center" vertical="center"/>
    </xf>
    <xf numFmtId="189" fontId="21" fillId="26" borderId="15" xfId="0" applyNumberFormat="1" applyFont="1" applyFill="1" applyBorder="1" applyAlignment="1">
      <alignment horizontal="center" vertical="center"/>
    </xf>
    <xf numFmtId="189" fontId="21" fillId="27" borderId="18" xfId="0" applyNumberFormat="1" applyFont="1" applyFill="1" applyBorder="1" applyAlignment="1">
      <alignment horizontal="center" vertical="center"/>
    </xf>
    <xf numFmtId="189" fontId="21" fillId="27" borderId="14" xfId="0" applyNumberFormat="1" applyFont="1" applyFill="1" applyBorder="1" applyAlignment="1">
      <alignment horizontal="center" vertical="center"/>
    </xf>
    <xf numFmtId="189" fontId="21" fillId="27" borderId="16" xfId="0" applyNumberFormat="1" applyFont="1" applyFill="1" applyBorder="1" applyAlignment="1">
      <alignment horizontal="center" vertical="center"/>
    </xf>
    <xf numFmtId="0" fontId="21" fillId="27" borderId="17" xfId="0" applyNumberFormat="1" applyFont="1" applyFill="1" applyBorder="1" applyAlignment="1">
      <alignment horizontal="center" vertical="center"/>
    </xf>
    <xf numFmtId="0" fontId="21" fillId="27" borderId="10" xfId="0" applyNumberFormat="1" applyFont="1" applyFill="1" applyBorder="1" applyAlignment="1">
      <alignment horizontal="center" vertical="center"/>
    </xf>
    <xf numFmtId="0" fontId="21" fillId="27" borderId="15" xfId="0" applyNumberFormat="1" applyFont="1" applyFill="1" applyBorder="1" applyAlignment="1">
      <alignment horizontal="center" vertical="center"/>
    </xf>
    <xf numFmtId="176" fontId="21" fillId="24" borderId="13" xfId="0" applyNumberFormat="1" applyFont="1" applyFill="1" applyBorder="1" applyAlignment="1">
      <alignment horizontal="center" vertical="center" wrapText="1"/>
    </xf>
    <xf numFmtId="184" fontId="21" fillId="27" borderId="17" xfId="0" applyNumberFormat="1" applyFont="1" applyFill="1" applyBorder="1" applyAlignment="1">
      <alignment horizontal="center" vertical="center"/>
    </xf>
    <xf numFmtId="182" fontId="21" fillId="28" borderId="15" xfId="0" applyNumberFormat="1" applyFont="1" applyFill="1" applyBorder="1" applyAlignment="1">
      <alignment horizontal="center" vertical="center"/>
    </xf>
    <xf numFmtId="188" fontId="21" fillId="25" borderId="17" xfId="0" applyNumberFormat="1" applyFont="1" applyFill="1" applyBorder="1" applyAlignment="1">
      <alignment horizontal="center" vertical="center"/>
    </xf>
    <xf numFmtId="188" fontId="21" fillId="25" borderId="10" xfId="0" applyNumberFormat="1" applyFont="1" applyFill="1" applyBorder="1" applyAlignment="1">
      <alignment horizontal="center" vertical="center"/>
    </xf>
    <xf numFmtId="188" fontId="21" fillId="25" borderId="11" xfId="0" applyNumberFormat="1" applyFont="1" applyFill="1" applyBorder="1" applyAlignment="1">
      <alignment horizontal="center" vertical="center"/>
    </xf>
    <xf numFmtId="188" fontId="21" fillId="25" borderId="15" xfId="0" applyNumberFormat="1" applyFont="1" applyFill="1" applyBorder="1" applyAlignment="1">
      <alignment horizontal="center" vertical="center"/>
    </xf>
    <xf numFmtId="188" fontId="21" fillId="26" borderId="17" xfId="0" applyNumberFormat="1" applyFont="1" applyFill="1" applyBorder="1" applyAlignment="1">
      <alignment horizontal="center" vertical="center"/>
    </xf>
    <xf numFmtId="188" fontId="21" fillId="26" borderId="10" xfId="0" applyNumberFormat="1" applyFont="1" applyFill="1" applyBorder="1" applyAlignment="1">
      <alignment horizontal="center" vertical="center"/>
    </xf>
    <xf numFmtId="188" fontId="21" fillId="26" borderId="15" xfId="0" applyNumberFormat="1" applyFont="1" applyFill="1" applyBorder="1" applyAlignment="1">
      <alignment horizontal="center" vertical="center"/>
    </xf>
    <xf numFmtId="188" fontId="21" fillId="27" borderId="17" xfId="0" applyNumberFormat="1" applyFont="1" applyFill="1" applyBorder="1" applyAlignment="1">
      <alignment horizontal="center" vertical="center"/>
    </xf>
    <xf numFmtId="188" fontId="21" fillId="27" borderId="15" xfId="0" applyNumberFormat="1" applyFont="1" applyFill="1" applyBorder="1" applyAlignment="1">
      <alignment horizontal="center" vertical="center"/>
    </xf>
    <xf numFmtId="0" fontId="21" fillId="25" borderId="17" xfId="0" applyNumberFormat="1" applyFont="1" applyFill="1" applyBorder="1" applyAlignment="1">
      <alignment horizontal="center" vertical="center"/>
    </xf>
    <xf numFmtId="0" fontId="21" fillId="25" borderId="10" xfId="0" applyNumberFormat="1" applyFont="1" applyFill="1" applyBorder="1" applyAlignment="1">
      <alignment horizontal="center" vertical="center"/>
    </xf>
    <xf numFmtId="0" fontId="21" fillId="25" borderId="11" xfId="0" applyNumberFormat="1" applyFont="1" applyFill="1" applyBorder="1" applyAlignment="1">
      <alignment horizontal="center" vertical="center"/>
    </xf>
    <xf numFmtId="0" fontId="21" fillId="25" borderId="15" xfId="0" applyNumberFormat="1" applyFont="1" applyFill="1" applyBorder="1" applyAlignment="1">
      <alignment horizontal="center" vertical="center"/>
    </xf>
    <xf numFmtId="184" fontId="21" fillId="28" borderId="42" xfId="0" applyNumberFormat="1" applyFont="1" applyFill="1" applyBorder="1" applyAlignment="1">
      <alignment horizontal="center" vertical="center"/>
    </xf>
    <xf numFmtId="176" fontId="21" fillId="28" borderId="35" xfId="0" applyNumberFormat="1" applyFont="1" applyFill="1" applyBorder="1" applyAlignment="1">
      <alignment horizontal="center" vertical="center"/>
    </xf>
    <xf numFmtId="179" fontId="21" fillId="25" borderId="17" xfId="0" applyNumberFormat="1" applyFont="1" applyFill="1" applyBorder="1" applyAlignment="1">
      <alignment horizontal="center" vertical="center"/>
    </xf>
    <xf numFmtId="179" fontId="21" fillId="25" borderId="10" xfId="0" applyNumberFormat="1" applyFont="1" applyFill="1" applyBorder="1" applyAlignment="1">
      <alignment horizontal="center" vertical="center"/>
    </xf>
    <xf numFmtId="179" fontId="21" fillId="25" borderId="11" xfId="0" applyNumberFormat="1" applyFont="1" applyFill="1" applyBorder="1" applyAlignment="1">
      <alignment horizontal="center" vertical="center"/>
    </xf>
    <xf numFmtId="179" fontId="21" fillId="25" borderId="15" xfId="0" applyNumberFormat="1" applyFont="1" applyFill="1" applyBorder="1" applyAlignment="1">
      <alignment horizontal="center" vertical="center"/>
    </xf>
    <xf numFmtId="176" fontId="21" fillId="25" borderId="10" xfId="0" applyNumberFormat="1" applyFont="1" applyFill="1" applyBorder="1" applyAlignment="1">
      <alignment horizontal="center" vertical="center"/>
    </xf>
    <xf numFmtId="176" fontId="21" fillId="25" borderId="11" xfId="0" applyNumberFormat="1" applyFont="1" applyFill="1" applyBorder="1" applyAlignment="1">
      <alignment horizontal="center" vertical="center"/>
    </xf>
    <xf numFmtId="176" fontId="21" fillId="25" borderId="15" xfId="0" applyNumberFormat="1" applyFont="1" applyFill="1" applyBorder="1" applyAlignment="1">
      <alignment horizontal="center" vertical="center"/>
    </xf>
    <xf numFmtId="176" fontId="21" fillId="26" borderId="18" xfId="0" applyNumberFormat="1" applyFont="1" applyFill="1" applyBorder="1" applyAlignment="1">
      <alignment horizontal="center" vertical="center"/>
    </xf>
    <xf numFmtId="179" fontId="21" fillId="26" borderId="18" xfId="0" applyNumberFormat="1" applyFont="1" applyFill="1" applyBorder="1" applyAlignment="1">
      <alignment horizontal="center" vertical="center"/>
    </xf>
    <xf numFmtId="179" fontId="21" fillId="26" borderId="14" xfId="0" applyNumberFormat="1" applyFont="1" applyFill="1" applyBorder="1" applyAlignment="1">
      <alignment horizontal="center" vertical="center"/>
    </xf>
    <xf numFmtId="179" fontId="21" fillId="26" borderId="16" xfId="0" applyNumberFormat="1" applyFont="1" applyFill="1" applyBorder="1" applyAlignment="1">
      <alignment horizontal="center" vertical="center"/>
    </xf>
    <xf numFmtId="0" fontId="37" fillId="0" borderId="0" xfId="0" applyFont="1">
      <alignment vertical="center"/>
    </xf>
    <xf numFmtId="187" fontId="21" fillId="0" borderId="0" xfId="0" applyNumberFormat="1" applyFont="1">
      <alignment vertical="center"/>
    </xf>
    <xf numFmtId="187" fontId="22" fillId="0" borderId="20" xfId="0" applyNumberFormat="1" applyFont="1" applyBorder="1" applyAlignment="1">
      <alignment horizontal="center" vertical="center" wrapText="1"/>
    </xf>
    <xf numFmtId="187" fontId="21" fillId="0" borderId="22" xfId="0" applyNumberFormat="1" applyFont="1" applyBorder="1" applyAlignment="1">
      <alignment horizontal="center" vertical="center" wrapText="1"/>
    </xf>
    <xf numFmtId="182" fontId="21" fillId="26" borderId="17" xfId="0" applyNumberFormat="1" applyFont="1" applyFill="1" applyBorder="1" applyAlignment="1">
      <alignment horizontal="center" vertical="center"/>
    </xf>
    <xf numFmtId="182" fontId="21" fillId="26" borderId="10" xfId="0" applyNumberFormat="1" applyFont="1" applyFill="1" applyBorder="1" applyAlignment="1">
      <alignment horizontal="center" vertical="center"/>
    </xf>
    <xf numFmtId="190" fontId="21" fillId="27" borderId="10" xfId="0" applyNumberFormat="1" applyFont="1" applyFill="1" applyBorder="1" applyAlignment="1">
      <alignment horizontal="center" vertical="center"/>
    </xf>
    <xf numFmtId="190" fontId="21" fillId="27" borderId="15" xfId="0" applyNumberFormat="1" applyFont="1" applyFill="1" applyBorder="1" applyAlignment="1">
      <alignment horizontal="center" vertical="center"/>
    </xf>
    <xf numFmtId="191" fontId="21" fillId="27" borderId="10" xfId="0" applyNumberFormat="1" applyFont="1" applyFill="1" applyBorder="1" applyAlignment="1">
      <alignment horizontal="center" vertical="center"/>
    </xf>
    <xf numFmtId="190" fontId="21" fillId="27" borderId="17" xfId="0" applyNumberFormat="1" applyFont="1" applyFill="1" applyBorder="1" applyAlignment="1">
      <alignment horizontal="center" vertical="center"/>
    </xf>
    <xf numFmtId="179" fontId="22" fillId="25" borderId="32" xfId="0" applyNumberFormat="1" applyFont="1" applyFill="1" applyBorder="1" applyAlignment="1">
      <alignment horizontal="center" vertical="center" wrapText="1"/>
    </xf>
    <xf numFmtId="179" fontId="22" fillId="25" borderId="33" xfId="0" applyNumberFormat="1" applyFont="1" applyFill="1" applyBorder="1" applyAlignment="1">
      <alignment horizontal="center" vertical="center" wrapText="1"/>
    </xf>
    <xf numFmtId="179" fontId="22" fillId="25" borderId="31" xfId="0" applyNumberFormat="1" applyFont="1" applyFill="1" applyBorder="1" applyAlignment="1">
      <alignment horizontal="center" vertical="center" wrapText="1"/>
    </xf>
    <xf numFmtId="179" fontId="22" fillId="26" borderId="32" xfId="0" applyNumberFormat="1" applyFont="1" applyFill="1" applyBorder="1" applyAlignment="1">
      <alignment horizontal="center" vertical="center"/>
    </xf>
    <xf numFmtId="179" fontId="22" fillId="26" borderId="33" xfId="0" applyNumberFormat="1" applyFont="1" applyFill="1" applyBorder="1" applyAlignment="1">
      <alignment horizontal="center" vertical="center"/>
    </xf>
    <xf numFmtId="179" fontId="22" fillId="26" borderId="31" xfId="0" applyNumberFormat="1" applyFont="1" applyFill="1" applyBorder="1" applyAlignment="1">
      <alignment horizontal="center" vertical="center"/>
    </xf>
    <xf numFmtId="179" fontId="22" fillId="27" borderId="32" xfId="0" applyNumberFormat="1" applyFont="1" applyFill="1" applyBorder="1" applyAlignment="1">
      <alignment horizontal="center" vertical="center" wrapText="1"/>
    </xf>
    <xf numFmtId="179" fontId="22" fillId="27" borderId="33" xfId="0" applyNumberFormat="1" applyFont="1" applyFill="1" applyBorder="1" applyAlignment="1">
      <alignment horizontal="center" vertical="center" wrapText="1"/>
    </xf>
    <xf numFmtId="179" fontId="22" fillId="27" borderId="3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176" fontId="0" fillId="33" borderId="32" xfId="0" applyNumberFormat="1" applyFill="1" applyBorder="1" applyAlignment="1" applyProtection="1">
      <alignment horizontal="center" vertical="center" wrapText="1"/>
    </xf>
    <xf numFmtId="176" fontId="0" fillId="33" borderId="33" xfId="0" applyNumberFormat="1" applyFill="1" applyBorder="1" applyAlignment="1" applyProtection="1">
      <alignment horizontal="center" vertical="center" wrapText="1"/>
    </xf>
    <xf numFmtId="176" fontId="0" fillId="33" borderId="31" xfId="0" applyNumberFormat="1" applyFill="1" applyBorder="1" applyAlignment="1" applyProtection="1">
      <alignment horizontal="center" vertical="center" wrapText="1"/>
    </xf>
    <xf numFmtId="176" fontId="0" fillId="28" borderId="32" xfId="0" applyNumberFormat="1" applyFill="1" applyBorder="1" applyAlignment="1" applyProtection="1">
      <alignment horizontal="center" vertical="center" wrapText="1"/>
    </xf>
    <xf numFmtId="176" fontId="0" fillId="28" borderId="33" xfId="0" applyNumberFormat="1" applyFill="1" applyBorder="1" applyAlignment="1" applyProtection="1">
      <alignment horizontal="center" vertical="center" wrapText="1"/>
    </xf>
    <xf numFmtId="176" fontId="0" fillId="28" borderId="31" xfId="0" applyNumberFormat="1" applyFill="1" applyBorder="1" applyAlignment="1" applyProtection="1">
      <alignment horizontal="center" vertical="center" wrapText="1"/>
    </xf>
    <xf numFmtId="176" fontId="0" fillId="27" borderId="32" xfId="0" applyNumberFormat="1" applyFill="1" applyBorder="1" applyAlignment="1" applyProtection="1">
      <alignment horizontal="center" vertical="center" wrapText="1"/>
    </xf>
    <xf numFmtId="176" fontId="0" fillId="27" borderId="33" xfId="0" applyNumberFormat="1" applyFill="1" applyBorder="1" applyAlignment="1" applyProtection="1">
      <alignment horizontal="center" vertical="center" wrapText="1"/>
    </xf>
    <xf numFmtId="176" fontId="0" fillId="27" borderId="31" xfId="0" applyNumberFormat="1" applyFill="1" applyBorder="1" applyAlignment="1" applyProtection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攪拌レイノルズ数と動力数の関係</a:t>
            </a:r>
          </a:p>
        </c:rich>
      </c:tx>
      <c:layout>
        <c:manualLayout>
          <c:xMode val="edge"/>
          <c:yMode val="edge"/>
          <c:x val="0.21304112918080581"/>
          <c:y val="2.303911715554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水・邪魔板なし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課題３!$I$5:$I$9</c:f>
              <c:numCache>
                <c:formatCode>0.0000.E+00</c:formatCode>
                <c:ptCount val="5"/>
                <c:pt idx="0">
                  <c:v>25465.213493712541</c:v>
                </c:pt>
                <c:pt idx="1">
                  <c:v>32359.111069358481</c:v>
                </c:pt>
                <c:pt idx="2">
                  <c:v>43895.837624521075</c:v>
                </c:pt>
                <c:pt idx="3">
                  <c:v>14209.870513066115</c:v>
                </c:pt>
                <c:pt idx="4">
                  <c:v>47553.82409323116</c:v>
                </c:pt>
              </c:numCache>
            </c:numRef>
          </c:xVal>
          <c:yVal>
            <c:numRef>
              <c:f>課題３!$J$5:$J$9</c:f>
              <c:numCache>
                <c:formatCode>0.00000</c:formatCode>
                <c:ptCount val="5"/>
                <c:pt idx="0">
                  <c:v>0.33157421027144163</c:v>
                </c:pt>
                <c:pt idx="1">
                  <c:v>0.31229414669868333</c:v>
                </c:pt>
                <c:pt idx="2">
                  <c:v>0.29525087217394891</c:v>
                </c:pt>
                <c:pt idx="3">
                  <c:v>0.28840133143632785</c:v>
                </c:pt>
                <c:pt idx="4">
                  <c:v>0.29713548147776619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8-4141-86C5-8866C0DCB9E3}"/>
            </c:ext>
          </c:extLst>
        </c:ser>
        <c:ser>
          <c:idx val="1"/>
          <c:order val="1"/>
          <c:tx>
            <c:v>水・邪魔板あり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課題３!$I$10:$I$14</c:f>
              <c:numCache>
                <c:formatCode>0.0000.E+00</c:formatCode>
                <c:ptCount val="5"/>
                <c:pt idx="0">
                  <c:v>14442.055979861005</c:v>
                </c:pt>
                <c:pt idx="1">
                  <c:v>20876.635376828777</c:v>
                </c:pt>
                <c:pt idx="2">
                  <c:v>32744.85959790268</c:v>
                </c:pt>
                <c:pt idx="3">
                  <c:v>29313.083919519868</c:v>
                </c:pt>
                <c:pt idx="4">
                  <c:v>40895.32683406186</c:v>
                </c:pt>
              </c:numCache>
            </c:numRef>
          </c:xVal>
          <c:yVal>
            <c:numRef>
              <c:f>課題３!$J$10:$J$14</c:f>
              <c:numCache>
                <c:formatCode>0.00000</c:formatCode>
                <c:ptCount val="5"/>
                <c:pt idx="0">
                  <c:v>0.7764651230978058</c:v>
                </c:pt>
                <c:pt idx="1">
                  <c:v>0.84933873637195045</c:v>
                </c:pt>
                <c:pt idx="2">
                  <c:v>0.77678028899401452</c:v>
                </c:pt>
                <c:pt idx="3">
                  <c:v>0.83468120112974331</c:v>
                </c:pt>
                <c:pt idx="4">
                  <c:v>0.82448138392194292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8-4141-86C5-8866C0DCB9E3}"/>
            </c:ext>
          </c:extLst>
        </c:ser>
        <c:ser>
          <c:idx val="2"/>
          <c:order val="2"/>
          <c:tx>
            <c:v>グリセリン・邪魔板なし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課題３!$I$15:$I$19</c:f>
              <c:numCache>
                <c:formatCode>0.0000.E+00</c:formatCode>
                <c:ptCount val="5"/>
                <c:pt idx="0">
                  <c:v>3.7175281084709564</c:v>
                </c:pt>
                <c:pt idx="1">
                  <c:v>8.8046718358522646</c:v>
                </c:pt>
                <c:pt idx="2">
                  <c:v>13.011348379648348</c:v>
                </c:pt>
                <c:pt idx="3">
                  <c:v>19.859426474200109</c:v>
                </c:pt>
                <c:pt idx="4">
                  <c:v>30.522862364287853</c:v>
                </c:pt>
              </c:numCache>
            </c:numRef>
          </c:xVal>
          <c:yVal>
            <c:numRef>
              <c:f>課題３!$J$15:$J$19</c:f>
              <c:numCache>
                <c:formatCode>0.00000</c:formatCode>
                <c:ptCount val="5"/>
                <c:pt idx="0">
                  <c:v>9.5344129554655819</c:v>
                </c:pt>
                <c:pt idx="1">
                  <c:v>4.0256410256410229</c:v>
                </c:pt>
                <c:pt idx="2">
                  <c:v>3.1542418800036507</c:v>
                </c:pt>
                <c:pt idx="3">
                  <c:v>2.2859084180640141</c:v>
                </c:pt>
                <c:pt idx="4">
                  <c:v>1.7679174252768914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8-4141-86C5-8866C0D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43240"/>
        <c:axId val="600943568"/>
      </c:scatterChart>
      <c:valAx>
        <c:axId val="600943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攪拌レイノルズ数 </a:t>
                </a:r>
                <a:r>
                  <a:rPr lang="en-US" altLang="ja-JP"/>
                  <a:t>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43568"/>
        <c:crosses val="autoZero"/>
        <c:crossBetween val="midCat"/>
      </c:valAx>
      <c:valAx>
        <c:axId val="60094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動力数</a:t>
                </a:r>
                <a:r>
                  <a:rPr lang="en-US" altLang="ja-JP"/>
                  <a:t>Np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4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攪拌</a:t>
            </a:r>
            <a:r>
              <a:rPr lang="en-US" altLang="ja-JP"/>
              <a:t>Re</a:t>
            </a:r>
            <a:r>
              <a:rPr lang="ja-JP" altLang="en-US"/>
              <a:t>数と動力数</a:t>
            </a:r>
            <a:r>
              <a:rPr lang="en-US" altLang="ja-JP"/>
              <a:t>Np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29277091174287312"/>
          <c:y val="1.8279640698991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09493257636834"/>
          <c:y val="9.8687487703432247E-2"/>
          <c:w val="0.8339050743657042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水・邪魔板なし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槽内流れ_レポート用!$I$5:$I$14</c:f>
              <c:numCache>
                <c:formatCode>0.0.E+00</c:formatCode>
                <c:ptCount val="10"/>
                <c:pt idx="0">
                  <c:v>12966.532032165522</c:v>
                </c:pt>
                <c:pt idx="1">
                  <c:v>18648.49550693468</c:v>
                </c:pt>
                <c:pt idx="2">
                  <c:v>21416.631558745303</c:v>
                </c:pt>
                <c:pt idx="3">
                  <c:v>23310.619383668352</c:v>
                </c:pt>
                <c:pt idx="4">
                  <c:v>26952.903662366534</c:v>
                </c:pt>
                <c:pt idx="5">
                  <c:v>28264.126002697882</c:v>
                </c:pt>
                <c:pt idx="6">
                  <c:v>32489.175765987766</c:v>
                </c:pt>
                <c:pt idx="7">
                  <c:v>35257.311817798385</c:v>
                </c:pt>
                <c:pt idx="8">
                  <c:v>37879.756498461073</c:v>
                </c:pt>
                <c:pt idx="9">
                  <c:v>38899.596096496571</c:v>
                </c:pt>
              </c:numCache>
            </c:numRef>
          </c:xVal>
          <c:yVal>
            <c:numRef>
              <c:f>槽内流れ_レポート用!$J$5:$J$14</c:f>
              <c:numCache>
                <c:formatCode>0.00_ </c:formatCode>
                <c:ptCount val="10"/>
                <c:pt idx="0">
                  <c:v>0.34284505437137658</c:v>
                </c:pt>
                <c:pt idx="1">
                  <c:v>0.30387809684684669</c:v>
                </c:pt>
                <c:pt idx="2">
                  <c:v>0.29323784425825222</c:v>
                </c:pt>
                <c:pt idx="3">
                  <c:v>0.30056306306306291</c:v>
                </c:pt>
                <c:pt idx="4">
                  <c:v>0.29755394547213376</c:v>
                </c:pt>
                <c:pt idx="5">
                  <c:v>0.30065137940576336</c:v>
                </c:pt>
                <c:pt idx="6">
                  <c:v>0.29580144201391351</c:v>
                </c:pt>
                <c:pt idx="7">
                  <c:v>0.28209071034014671</c:v>
                </c:pt>
                <c:pt idx="8">
                  <c:v>0.28455674609520754</c:v>
                </c:pt>
                <c:pt idx="9">
                  <c:v>0.29205319446450601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2-42D1-B2F0-75294A65B9E2}"/>
            </c:ext>
          </c:extLst>
        </c:ser>
        <c:ser>
          <c:idx val="1"/>
          <c:order val="1"/>
          <c:tx>
            <c:v>水・邪魔板あり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槽内流れ_レポート用!$I$15:$I$24</c:f>
              <c:numCache>
                <c:formatCode>0.0.E+00</c:formatCode>
                <c:ptCount val="10"/>
                <c:pt idx="0">
                  <c:v>10896.028897020458</c:v>
                </c:pt>
                <c:pt idx="1">
                  <c:v>13104.683403173254</c:v>
                </c:pt>
                <c:pt idx="2">
                  <c:v>15755.068810556608</c:v>
                </c:pt>
                <c:pt idx="3">
                  <c:v>17669.236049222363</c:v>
                </c:pt>
                <c:pt idx="4">
                  <c:v>19730.64692163164</c:v>
                </c:pt>
                <c:pt idx="5" formatCode="0.00.E+00">
                  <c:v>22528.275962758511</c:v>
                </c:pt>
                <c:pt idx="6" formatCode="0.00.E+00">
                  <c:v>25178.661370141872</c:v>
                </c:pt>
                <c:pt idx="7" formatCode="0.00.E+00">
                  <c:v>27092.828608807627</c:v>
                </c:pt>
                <c:pt idx="8" formatCode="0.00.E+00">
                  <c:v>29301.483114960425</c:v>
                </c:pt>
                <c:pt idx="9" formatCode="0.00.E+00">
                  <c:v>30921.163086139135</c:v>
                </c:pt>
              </c:numCache>
            </c:numRef>
          </c:xVal>
          <c:yVal>
            <c:numRef>
              <c:f>槽内流れ_レポート用!$J$15:$J$24</c:f>
              <c:numCache>
                <c:formatCode>0.00_ </c:formatCode>
                <c:ptCount val="10"/>
                <c:pt idx="0">
                  <c:v>0.90919261116485317</c:v>
                </c:pt>
                <c:pt idx="1">
                  <c:v>0.91425347832367099</c:v>
                </c:pt>
                <c:pt idx="2">
                  <c:v>0.98832346190193987</c:v>
                </c:pt>
                <c:pt idx="3">
                  <c:v>0.91151151151151089</c:v>
                </c:pt>
                <c:pt idx="4" formatCode="0.0_ ">
                  <c:v>1.0334772286209124</c:v>
                </c:pt>
                <c:pt idx="5">
                  <c:v>0.96674914052845584</c:v>
                </c:pt>
                <c:pt idx="6" formatCode="0.0_ ">
                  <c:v>1.0680301723699683</c:v>
                </c:pt>
                <c:pt idx="7" formatCode="0.0_ ">
                  <c:v>1.0828692586726607</c:v>
                </c:pt>
                <c:pt idx="8">
                  <c:v>0.94863379325892838</c:v>
                </c:pt>
                <c:pt idx="9" formatCode="0.0_ ">
                  <c:v>1.026332454903883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2-42D1-B2F0-75294A65B9E2}"/>
            </c:ext>
          </c:extLst>
        </c:ser>
        <c:ser>
          <c:idx val="2"/>
          <c:order val="2"/>
          <c:tx>
            <c:v>グリセリン・邪魔板なし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槽内流れ_レポート用!$I$25:$I$34</c:f>
              <c:numCache>
                <c:formatCode>0.00_);[Red]\(0.00\)</c:formatCode>
                <c:ptCount val="10"/>
                <c:pt idx="0" formatCode="0.0_);[Red]\(0.0\)">
                  <c:v>3.8776818750686464</c:v>
                </c:pt>
                <c:pt idx="1">
                  <c:v>5.2564132084263866</c:v>
                </c:pt>
                <c:pt idx="2">
                  <c:v>7.5830223334675741</c:v>
                </c:pt>
                <c:pt idx="3">
                  <c:v>9.3926072084996104</c:v>
                </c:pt>
                <c:pt idx="4" formatCode="0.0_);[Red]\(0.0\)">
                  <c:v>10.512826416852773</c:v>
                </c:pt>
                <c:pt idx="5" formatCode="0.0_);[Red]\(0.0\)">
                  <c:v>11.977728458545375</c:v>
                </c:pt>
                <c:pt idx="6" formatCode="0.0_);[Red]\(0.0\)">
                  <c:v>13.701142625242548</c:v>
                </c:pt>
                <c:pt idx="7" formatCode="0.0_);[Red]\(0.0\)">
                  <c:v>16.975629541967184</c:v>
                </c:pt>
                <c:pt idx="8" formatCode="0.0_);[Red]\(0.0\)">
                  <c:v>20.422457875361538</c:v>
                </c:pt>
                <c:pt idx="9" formatCode="0.0_);[Red]\(0.0\)">
                  <c:v>24.730993292104476</c:v>
                </c:pt>
              </c:numCache>
            </c:numRef>
          </c:xVal>
          <c:yVal>
            <c:numRef>
              <c:f>槽内流れ_レポート用!$J$25:$J$34</c:f>
              <c:numCache>
                <c:formatCode>0.00_ </c:formatCode>
                <c:ptCount val="10"/>
                <c:pt idx="0" formatCode="0.0_ ">
                  <c:v>9.1640084528973347</c:v>
                </c:pt>
                <c:pt idx="1">
                  <c:v>7.1766041774104101</c:v>
                </c:pt>
                <c:pt idx="2">
                  <c:v>4.8218673218673205</c:v>
                </c:pt>
                <c:pt idx="3">
                  <c:v>4.2476480352080026</c:v>
                </c:pt>
                <c:pt idx="4">
                  <c:v>3.8163721367161285</c:v>
                </c:pt>
                <c:pt idx="5">
                  <c:v>3.4319004061770979</c:v>
                </c:pt>
                <c:pt idx="6">
                  <c:v>3.133072552794872</c:v>
                </c:pt>
                <c:pt idx="7">
                  <c:v>2.6357404326432121</c:v>
                </c:pt>
                <c:pt idx="8">
                  <c:v>2.5866340623591046</c:v>
                </c:pt>
                <c:pt idx="9">
                  <c:v>2.2062179213534687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2-42D1-B2F0-75294A65B9E2}"/>
            </c:ext>
          </c:extLst>
        </c:ser>
        <c:ser>
          <c:idx val="3"/>
          <c:order val="3"/>
          <c:tx>
            <c:v>永田の式・邪魔板なし</c:v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槽内流れ_レポート用!$B$44:$B$134</c:f>
              <c:numCache>
                <c:formatCode>General</c:formatCode>
                <c:ptCount val="9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  <c:pt idx="73">
                  <c:v>2000000</c:v>
                </c:pt>
                <c:pt idx="74">
                  <c:v>3000000</c:v>
                </c:pt>
                <c:pt idx="75">
                  <c:v>4000000</c:v>
                </c:pt>
                <c:pt idx="76">
                  <c:v>5000000</c:v>
                </c:pt>
                <c:pt idx="77">
                  <c:v>6000000</c:v>
                </c:pt>
                <c:pt idx="78">
                  <c:v>7000000</c:v>
                </c:pt>
                <c:pt idx="79">
                  <c:v>8000000</c:v>
                </c:pt>
                <c:pt idx="80">
                  <c:v>9000000</c:v>
                </c:pt>
                <c:pt idx="81">
                  <c:v>10000000</c:v>
                </c:pt>
                <c:pt idx="82">
                  <c:v>20000000</c:v>
                </c:pt>
                <c:pt idx="83">
                  <c:v>30000000</c:v>
                </c:pt>
                <c:pt idx="84">
                  <c:v>40000000</c:v>
                </c:pt>
                <c:pt idx="85">
                  <c:v>50000000</c:v>
                </c:pt>
                <c:pt idx="86">
                  <c:v>60000000</c:v>
                </c:pt>
                <c:pt idx="87">
                  <c:v>70000000</c:v>
                </c:pt>
                <c:pt idx="88">
                  <c:v>80000000</c:v>
                </c:pt>
                <c:pt idx="89">
                  <c:v>90000000</c:v>
                </c:pt>
                <c:pt idx="90">
                  <c:v>100000000</c:v>
                </c:pt>
              </c:numCache>
            </c:numRef>
          </c:xVal>
          <c:yVal>
            <c:numRef>
              <c:f>槽内流れ_レポート用!$F$44:$F$134</c:f>
              <c:numCache>
                <c:formatCode>General</c:formatCode>
                <c:ptCount val="91"/>
                <c:pt idx="0">
                  <c:v>4181.0912985327941</c:v>
                </c:pt>
                <c:pt idx="1">
                  <c:v>2091.1293873349355</c:v>
                </c:pt>
                <c:pt idx="2">
                  <c:v>1394.4753620934866</c:v>
                </c:pt>
                <c:pt idx="3">
                  <c:v>1046.1483138541953</c:v>
                </c:pt>
                <c:pt idx="4">
                  <c:v>837.15205912653164</c:v>
                </c:pt>
                <c:pt idx="5">
                  <c:v>697.82120274611043</c:v>
                </c:pt>
                <c:pt idx="6">
                  <c:v>598.29914645691986</c:v>
                </c:pt>
                <c:pt idx="7">
                  <c:v>523.6575909465729</c:v>
                </c:pt>
                <c:pt idx="8">
                  <c:v>465.60303648395524</c:v>
                </c:pt>
                <c:pt idx="9">
                  <c:v>419.15938315638607</c:v>
                </c:pt>
                <c:pt idx="10">
                  <c:v>210.16270473294082</c:v>
                </c:pt>
                <c:pt idx="11">
                  <c:v>140.49689530399277</c:v>
                </c:pt>
                <c:pt idx="12">
                  <c:v>105.66382839935665</c:v>
                </c:pt>
                <c:pt idx="13">
                  <c:v>84.763870942760079</c:v>
                </c:pt>
                <c:pt idx="14">
                  <c:v>70.830475517692932</c:v>
                </c:pt>
                <c:pt idx="15">
                  <c:v>60.877977440736309</c:v>
                </c:pt>
                <c:pt idx="16">
                  <c:v>53.413543525001174</c:v>
                </c:pt>
                <c:pt idx="17">
                  <c:v>47.607821481295808</c:v>
                </c:pt>
                <c:pt idx="18">
                  <c:v>42.963199596632386</c:v>
                </c:pt>
                <c:pt idx="19">
                  <c:v>22.061321972312282</c:v>
                </c:pt>
                <c:pt idx="20">
                  <c:v>15.092901853069295</c:v>
                </c:pt>
                <c:pt idx="21">
                  <c:v>11.607963174799243</c:v>
                </c:pt>
                <c:pt idx="22">
                  <c:v>9.5164748777081059</c:v>
                </c:pt>
                <c:pt idx="23">
                  <c:v>8.1217458299430518</c:v>
                </c:pt>
                <c:pt idx="24">
                  <c:v>7.1251871608974771</c:v>
                </c:pt>
                <c:pt idx="25">
                  <c:v>6.3775005222335981</c:v>
                </c:pt>
                <c:pt idx="26">
                  <c:v>5.7957399822377091</c:v>
                </c:pt>
                <c:pt idx="27">
                  <c:v>5.3301364058863729</c:v>
                </c:pt>
                <c:pt idx="28">
                  <c:v>3.2302047693561837</c:v>
                </c:pt>
                <c:pt idx="29">
                  <c:v>2.5253707017604818</c:v>
                </c:pt>
                <c:pt idx="30">
                  <c:v>2.1698729508314201</c:v>
                </c:pt>
                <c:pt idx="31">
                  <c:v>1.9543897948750135</c:v>
                </c:pt>
                <c:pt idx="32">
                  <c:v>1.8090800886468217</c:v>
                </c:pt>
                <c:pt idx="33">
                  <c:v>1.7039785495223845</c:v>
                </c:pt>
                <c:pt idx="34">
                  <c:v>1.624083663682905</c:v>
                </c:pt>
                <c:pt idx="35">
                  <c:v>1.5610495990906459</c:v>
                </c:pt>
                <c:pt idx="36">
                  <c:v>1.5098611815259462</c:v>
                </c:pt>
                <c:pt idx="37">
                  <c:v>1.2618186519341732</c:v>
                </c:pt>
                <c:pt idx="38">
                  <c:v>1.1619655063820793</c:v>
                </c:pt>
                <c:pt idx="39">
                  <c:v>1.1019392714291791</c:v>
                </c:pt>
                <c:pt idx="40">
                  <c:v>1.0592057985344447</c:v>
                </c:pt>
                <c:pt idx="41">
                  <c:v>1.0259091217032563</c:v>
                </c:pt>
                <c:pt idx="42">
                  <c:v>0.99851120435533769</c:v>
                </c:pt>
                <c:pt idx="43">
                  <c:v>0.97514646890840384</c:v>
                </c:pt>
                <c:pt idx="44">
                  <c:v>0.95471918050737281</c:v>
                </c:pt>
                <c:pt idx="45">
                  <c:v>0.93653316085932925</c:v>
                </c:pt>
                <c:pt idx="46">
                  <c:v>0.81693850084014374</c:v>
                </c:pt>
                <c:pt idx="47">
                  <c:v>0.74658183989663618</c:v>
                </c:pt>
                <c:pt idx="48">
                  <c:v>0.69702508301869659</c:v>
                </c:pt>
                <c:pt idx="49">
                  <c:v>0.65920916909249228</c:v>
                </c:pt>
                <c:pt idx="50">
                  <c:v>0.62895289161039747</c:v>
                </c:pt>
                <c:pt idx="51">
                  <c:v>0.60395895491143414</c:v>
                </c:pt>
                <c:pt idx="52">
                  <c:v>0.58282575490889899</c:v>
                </c:pt>
                <c:pt idx="53">
                  <c:v>0.56463521234556091</c:v>
                </c:pt>
                <c:pt idx="54">
                  <c:v>0.54875398942773079</c:v>
                </c:pt>
                <c:pt idx="55">
                  <c:v>0.45501666964420329</c:v>
                </c:pt>
                <c:pt idx="56">
                  <c:v>0.40976811688232956</c:v>
                </c:pt>
                <c:pt idx="57">
                  <c:v>0.38204741517619517</c:v>
                </c:pt>
                <c:pt idx="58">
                  <c:v>0.36295332329284508</c:v>
                </c:pt>
                <c:pt idx="59">
                  <c:v>0.34883422772902484</c:v>
                </c:pt>
                <c:pt idx="60">
                  <c:v>0.33788192532907974</c:v>
                </c:pt>
                <c:pt idx="61">
                  <c:v>0.32908717725489667</c:v>
                </c:pt>
                <c:pt idx="62">
                  <c:v>0.32183750123434807</c:v>
                </c:pt>
                <c:pt idx="63">
                  <c:v>0.31573736720204526</c:v>
                </c:pt>
                <c:pt idx="64">
                  <c:v>0.28355426028609099</c:v>
                </c:pt>
                <c:pt idx="65">
                  <c:v>0.27000766587939184</c:v>
                </c:pt>
                <c:pt idx="66">
                  <c:v>0.26224056765723069</c:v>
                </c:pt>
                <c:pt idx="67">
                  <c:v>0.25710224833930734</c:v>
                </c:pt>
                <c:pt idx="68">
                  <c:v>0.25340608867832121</c:v>
                </c:pt>
                <c:pt idx="69">
                  <c:v>0.25059631044810987</c:v>
                </c:pt>
                <c:pt idx="70">
                  <c:v>0.24837482419448534</c:v>
                </c:pt>
                <c:pt idx="71">
                  <c:v>0.24656611172243675</c:v>
                </c:pt>
                <c:pt idx="72">
                  <c:v>0.24505949833785368</c:v>
                </c:pt>
                <c:pt idx="73">
                  <c:v>0.23732845679884926</c:v>
                </c:pt>
                <c:pt idx="74">
                  <c:v>0.23417569301539434</c:v>
                </c:pt>
                <c:pt idx="75">
                  <c:v>0.23239289538226859</c:v>
                </c:pt>
                <c:pt idx="76">
                  <c:v>0.23122300113036551</c:v>
                </c:pt>
                <c:pt idx="77">
                  <c:v>0.23038600137547</c:v>
                </c:pt>
                <c:pt idx="78">
                  <c:v>0.2297522102599337</c:v>
                </c:pt>
                <c:pt idx="79">
                  <c:v>0.22925261176898779</c:v>
                </c:pt>
                <c:pt idx="80">
                  <c:v>0.2288468040460386</c:v>
                </c:pt>
                <c:pt idx="81">
                  <c:v>0.22850942652736528</c:v>
                </c:pt>
                <c:pt idx="82">
                  <c:v>0.22678727820743264</c:v>
                </c:pt>
                <c:pt idx="83">
                  <c:v>0.22608920642157018</c:v>
                </c:pt>
                <c:pt idx="84">
                  <c:v>0.22569551551409614</c:v>
                </c:pt>
                <c:pt idx="85">
                  <c:v>0.22543757470683637</c:v>
                </c:pt>
                <c:pt idx="86">
                  <c:v>0.22525322522195371</c:v>
                </c:pt>
                <c:pt idx="87">
                  <c:v>0.22511373914397723</c:v>
                </c:pt>
                <c:pt idx="88">
                  <c:v>0.22500385072922927</c:v>
                </c:pt>
                <c:pt idx="89">
                  <c:v>0.22491463334804859</c:v>
                </c:pt>
                <c:pt idx="90">
                  <c:v>0.22484048855356042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72-42D1-B2F0-75294A65B9E2}"/>
            </c:ext>
          </c:extLst>
        </c:ser>
        <c:ser>
          <c:idx val="4"/>
          <c:order val="4"/>
          <c:tx>
            <c:v>動力数推算値(不完全邪魔板条件)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6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E72-42D1-B2F0-75294A65B9E2}"/>
              </c:ext>
            </c:extLst>
          </c:dPt>
          <c:dLbls>
            <c:dLbl>
              <c:idx val="0"/>
              <c:layout>
                <c:manualLayout>
                  <c:x val="-5.404743603677451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1.58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A30-4701-ADF0-A99ACB7F0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槽内流れ_レポート用!$B$44:$B$134</c:f>
              <c:numCache>
                <c:formatCode>General</c:formatCode>
                <c:ptCount val="9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  <c:pt idx="55">
                  <c:v>20000</c:v>
                </c:pt>
                <c:pt idx="56">
                  <c:v>30000</c:v>
                </c:pt>
                <c:pt idx="57">
                  <c:v>40000</c:v>
                </c:pt>
                <c:pt idx="58">
                  <c:v>50000</c:v>
                </c:pt>
                <c:pt idx="59">
                  <c:v>60000</c:v>
                </c:pt>
                <c:pt idx="60">
                  <c:v>70000</c:v>
                </c:pt>
                <c:pt idx="61">
                  <c:v>80000</c:v>
                </c:pt>
                <c:pt idx="62">
                  <c:v>90000</c:v>
                </c:pt>
                <c:pt idx="63">
                  <c:v>100000</c:v>
                </c:pt>
                <c:pt idx="64">
                  <c:v>200000</c:v>
                </c:pt>
                <c:pt idx="65">
                  <c:v>300000</c:v>
                </c:pt>
                <c:pt idx="66">
                  <c:v>400000</c:v>
                </c:pt>
                <c:pt idx="67">
                  <c:v>500000</c:v>
                </c:pt>
                <c:pt idx="68">
                  <c:v>600000</c:v>
                </c:pt>
                <c:pt idx="69">
                  <c:v>700000</c:v>
                </c:pt>
                <c:pt idx="70">
                  <c:v>800000</c:v>
                </c:pt>
                <c:pt idx="71">
                  <c:v>900000</c:v>
                </c:pt>
                <c:pt idx="72">
                  <c:v>1000000</c:v>
                </c:pt>
                <c:pt idx="73">
                  <c:v>2000000</c:v>
                </c:pt>
                <c:pt idx="74">
                  <c:v>3000000</c:v>
                </c:pt>
                <c:pt idx="75">
                  <c:v>4000000</c:v>
                </c:pt>
                <c:pt idx="76">
                  <c:v>5000000</c:v>
                </c:pt>
                <c:pt idx="77">
                  <c:v>6000000</c:v>
                </c:pt>
                <c:pt idx="78">
                  <c:v>7000000</c:v>
                </c:pt>
                <c:pt idx="79">
                  <c:v>8000000</c:v>
                </c:pt>
                <c:pt idx="80">
                  <c:v>9000000</c:v>
                </c:pt>
                <c:pt idx="81">
                  <c:v>10000000</c:v>
                </c:pt>
                <c:pt idx="82">
                  <c:v>20000000</c:v>
                </c:pt>
                <c:pt idx="83">
                  <c:v>30000000</c:v>
                </c:pt>
                <c:pt idx="84">
                  <c:v>40000000</c:v>
                </c:pt>
                <c:pt idx="85">
                  <c:v>50000000</c:v>
                </c:pt>
                <c:pt idx="86">
                  <c:v>60000000</c:v>
                </c:pt>
                <c:pt idx="87">
                  <c:v>70000000</c:v>
                </c:pt>
                <c:pt idx="88">
                  <c:v>80000000</c:v>
                </c:pt>
                <c:pt idx="89">
                  <c:v>90000000</c:v>
                </c:pt>
                <c:pt idx="90">
                  <c:v>100000000</c:v>
                </c:pt>
              </c:numCache>
            </c:numRef>
          </c:xVal>
          <c:yVal>
            <c:numRef>
              <c:f>槽内流れ_レポート用!$G$44:$G$134</c:f>
              <c:numCache>
                <c:formatCode>General</c:formatCode>
                <c:ptCount val="91"/>
                <c:pt idx="0">
                  <c:v>1.5795719223004645</c:v>
                </c:pt>
                <c:pt idx="1">
                  <c:v>1.5795719223004645</c:v>
                </c:pt>
                <c:pt idx="2">
                  <c:v>1.5795719223004645</c:v>
                </c:pt>
                <c:pt idx="3">
                  <c:v>1.5795719223004645</c:v>
                </c:pt>
                <c:pt idx="4">
                  <c:v>1.5795719223004645</c:v>
                </c:pt>
                <c:pt idx="5">
                  <c:v>1.5795719223004645</c:v>
                </c:pt>
                <c:pt idx="6">
                  <c:v>1.5795719223004645</c:v>
                </c:pt>
                <c:pt idx="7">
                  <c:v>1.5795719223004645</c:v>
                </c:pt>
                <c:pt idx="8">
                  <c:v>1.5795719223004645</c:v>
                </c:pt>
                <c:pt idx="9">
                  <c:v>1.5795719223004645</c:v>
                </c:pt>
                <c:pt idx="10">
                  <c:v>1.5795719223004645</c:v>
                </c:pt>
                <c:pt idx="11">
                  <c:v>1.5795719223004645</c:v>
                </c:pt>
                <c:pt idx="12">
                  <c:v>1.5795719223004645</c:v>
                </c:pt>
                <c:pt idx="13">
                  <c:v>1.5795719223004645</c:v>
                </c:pt>
                <c:pt idx="14">
                  <c:v>1.5795719223004645</c:v>
                </c:pt>
                <c:pt idx="15">
                  <c:v>1.5795719223004645</c:v>
                </c:pt>
                <c:pt idx="16">
                  <c:v>1.5795719223004645</c:v>
                </c:pt>
                <c:pt idx="17">
                  <c:v>1.5795719223004645</c:v>
                </c:pt>
                <c:pt idx="18">
                  <c:v>1.5795719223004645</c:v>
                </c:pt>
                <c:pt idx="19">
                  <c:v>1.5795719223004645</c:v>
                </c:pt>
                <c:pt idx="20">
                  <c:v>1.5795719223004645</c:v>
                </c:pt>
                <c:pt idx="21">
                  <c:v>1.5795719223004645</c:v>
                </c:pt>
                <c:pt idx="22">
                  <c:v>1.5795719223004645</c:v>
                </c:pt>
                <c:pt idx="23">
                  <c:v>1.5795719223004645</c:v>
                </c:pt>
                <c:pt idx="24">
                  <c:v>1.5795719223004645</c:v>
                </c:pt>
                <c:pt idx="25">
                  <c:v>1.5795719223004645</c:v>
                </c:pt>
                <c:pt idx="26">
                  <c:v>1.5795719223004645</c:v>
                </c:pt>
                <c:pt idx="27">
                  <c:v>1.5795719223004645</c:v>
                </c:pt>
                <c:pt idx="28">
                  <c:v>1.5795719223004645</c:v>
                </c:pt>
                <c:pt idx="29">
                  <c:v>1.5795719223004645</c:v>
                </c:pt>
                <c:pt idx="30">
                  <c:v>1.5795719223004645</c:v>
                </c:pt>
                <c:pt idx="31">
                  <c:v>1.5795719223004645</c:v>
                </c:pt>
                <c:pt idx="32">
                  <c:v>1.5795719223004645</c:v>
                </c:pt>
                <c:pt idx="33">
                  <c:v>1.5795719223004645</c:v>
                </c:pt>
                <c:pt idx="34">
                  <c:v>1.5795719223004645</c:v>
                </c:pt>
                <c:pt idx="35">
                  <c:v>1.5795719223004645</c:v>
                </c:pt>
                <c:pt idx="36">
                  <c:v>1.5795719223004645</c:v>
                </c:pt>
                <c:pt idx="37">
                  <c:v>1.5795719223004645</c:v>
                </c:pt>
                <c:pt idx="38">
                  <c:v>1.5795719223004645</c:v>
                </c:pt>
                <c:pt idx="39">
                  <c:v>1.5795719223004645</c:v>
                </c:pt>
                <c:pt idx="40">
                  <c:v>1.5795719223004645</c:v>
                </c:pt>
                <c:pt idx="41">
                  <c:v>1.5795719223004645</c:v>
                </c:pt>
                <c:pt idx="42">
                  <c:v>1.5795719223004645</c:v>
                </c:pt>
                <c:pt idx="43">
                  <c:v>1.5795719223004645</c:v>
                </c:pt>
                <c:pt idx="44">
                  <c:v>1.5795719223004645</c:v>
                </c:pt>
                <c:pt idx="45">
                  <c:v>1.5795719223004645</c:v>
                </c:pt>
                <c:pt idx="46">
                  <c:v>1.5795719223004645</c:v>
                </c:pt>
                <c:pt idx="47">
                  <c:v>1.5795719223004645</c:v>
                </c:pt>
                <c:pt idx="48">
                  <c:v>1.5795719223004645</c:v>
                </c:pt>
                <c:pt idx="49">
                  <c:v>1.5795719223004645</c:v>
                </c:pt>
                <c:pt idx="50">
                  <c:v>1.5795719223004645</c:v>
                </c:pt>
                <c:pt idx="51">
                  <c:v>1.5795719223004645</c:v>
                </c:pt>
                <c:pt idx="52">
                  <c:v>1.5795719223004645</c:v>
                </c:pt>
                <c:pt idx="53">
                  <c:v>1.5795719223004645</c:v>
                </c:pt>
                <c:pt idx="54">
                  <c:v>1.5795719223004645</c:v>
                </c:pt>
                <c:pt idx="55">
                  <c:v>1.5795719223004645</c:v>
                </c:pt>
                <c:pt idx="56">
                  <c:v>1.5795719223004645</c:v>
                </c:pt>
                <c:pt idx="57">
                  <c:v>1.5795719223004645</c:v>
                </c:pt>
                <c:pt idx="58">
                  <c:v>1.5795719223004645</c:v>
                </c:pt>
                <c:pt idx="59">
                  <c:v>1.5795719223004645</c:v>
                </c:pt>
                <c:pt idx="60">
                  <c:v>1.5795719223004645</c:v>
                </c:pt>
                <c:pt idx="61">
                  <c:v>1.5795719223004645</c:v>
                </c:pt>
                <c:pt idx="62">
                  <c:v>1.5795719223004645</c:v>
                </c:pt>
                <c:pt idx="63">
                  <c:v>1.5795719223004645</c:v>
                </c:pt>
                <c:pt idx="64">
                  <c:v>1.5795719223004645</c:v>
                </c:pt>
                <c:pt idx="65">
                  <c:v>1.5795719223004645</c:v>
                </c:pt>
                <c:pt idx="66">
                  <c:v>1.5795719223004645</c:v>
                </c:pt>
                <c:pt idx="67">
                  <c:v>1.5795719223004645</c:v>
                </c:pt>
                <c:pt idx="68">
                  <c:v>1.5795719223004645</c:v>
                </c:pt>
                <c:pt idx="69">
                  <c:v>1.5795719223004645</c:v>
                </c:pt>
                <c:pt idx="70">
                  <c:v>1.5795719223004645</c:v>
                </c:pt>
                <c:pt idx="71">
                  <c:v>1.5795719223004645</c:v>
                </c:pt>
                <c:pt idx="72">
                  <c:v>1.5795719223004645</c:v>
                </c:pt>
                <c:pt idx="73">
                  <c:v>1.5795719223004645</c:v>
                </c:pt>
                <c:pt idx="74">
                  <c:v>1.5795719223004645</c:v>
                </c:pt>
                <c:pt idx="75">
                  <c:v>1.5795719223004645</c:v>
                </c:pt>
                <c:pt idx="76">
                  <c:v>1.5795719223004645</c:v>
                </c:pt>
                <c:pt idx="77">
                  <c:v>1.5795719223004645</c:v>
                </c:pt>
                <c:pt idx="78">
                  <c:v>1.5795719223004645</c:v>
                </c:pt>
                <c:pt idx="79">
                  <c:v>1.5795719223004645</c:v>
                </c:pt>
                <c:pt idx="80">
                  <c:v>1.5795719223004645</c:v>
                </c:pt>
                <c:pt idx="81">
                  <c:v>1.5795719223004645</c:v>
                </c:pt>
                <c:pt idx="82">
                  <c:v>1.5795719223004645</c:v>
                </c:pt>
                <c:pt idx="83">
                  <c:v>1.5795719223004645</c:v>
                </c:pt>
                <c:pt idx="84">
                  <c:v>1.5795719223004645</c:v>
                </c:pt>
                <c:pt idx="85">
                  <c:v>1.5795719223004645</c:v>
                </c:pt>
                <c:pt idx="86">
                  <c:v>1.5795719223004645</c:v>
                </c:pt>
                <c:pt idx="87">
                  <c:v>1.5795719223004645</c:v>
                </c:pt>
                <c:pt idx="88">
                  <c:v>1.5795719223004645</c:v>
                </c:pt>
                <c:pt idx="89">
                  <c:v>1.5795719223004645</c:v>
                </c:pt>
                <c:pt idx="90">
                  <c:v>1.5795719223004645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72-42D1-B2F0-75294A65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95176"/>
        <c:axId val="633892224"/>
      </c:scatterChart>
      <c:valAx>
        <c:axId val="633895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攪拌</a:t>
                </a:r>
                <a:r>
                  <a:rPr lang="en-US" altLang="ja-JP"/>
                  <a:t>Re</a:t>
                </a:r>
                <a:r>
                  <a:rPr lang="ja-JP" altLang="en-US"/>
                  <a:t>数　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892224"/>
        <c:crosses val="autoZero"/>
        <c:crossBetween val="midCat"/>
      </c:valAx>
      <c:valAx>
        <c:axId val="63389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動力数</a:t>
                </a:r>
                <a:r>
                  <a:rPr lang="en-US" altLang="ja-JP"/>
                  <a:t>Np</a:t>
                </a:r>
                <a:r>
                  <a:rPr lang="ja-JP" altLang="en-US"/>
                  <a:t>　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89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176389</xdr:colOff>
      <xdr:row>16</xdr:row>
      <xdr:rowOff>152823</xdr:rowOff>
    </xdr:from>
    <xdr:to>
      <xdr:col>22</xdr:col>
      <xdr:colOff>478367</xdr:colOff>
      <xdr:row>32</xdr:row>
      <xdr:rowOff>23283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4FFCED-7046-4652-AF22-0B89C82A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40339</xdr:colOff>
      <xdr:row>5</xdr:row>
      <xdr:rowOff>143435</xdr:rowOff>
    </xdr:from>
    <xdr:to>
      <xdr:col>18</xdr:col>
      <xdr:colOff>251011</xdr:colOff>
      <xdr:row>29</xdr:row>
      <xdr:rowOff>1344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ED1179-4C50-408A-B4CD-9E954A643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0"/>
  <sheetViews>
    <sheetView zoomScaleNormal="100" workbookViewId="0">
      <selection activeCell="E4" sqref="E4"/>
    </sheetView>
  </sheetViews>
  <sheetFormatPr defaultRowHeight="13.2" x14ac:dyDescent="0.2"/>
  <cols>
    <col min="1" max="1" width="4.44140625" customWidth="1"/>
    <col min="2" max="2" width="24.88671875" customWidth="1"/>
    <col min="3" max="3" width="10.88671875" customWidth="1"/>
    <col min="4" max="4" width="10.6640625" customWidth="1"/>
    <col min="5" max="5" width="10.44140625" customWidth="1"/>
    <col min="6" max="6" width="11" customWidth="1"/>
    <col min="7" max="7" width="12.33203125" customWidth="1"/>
    <col min="8" max="8" width="11.33203125" customWidth="1"/>
    <col min="9" max="9" width="12.88671875" customWidth="1"/>
    <col min="13" max="13" width="15.88671875" customWidth="1"/>
  </cols>
  <sheetData>
    <row r="1" spans="2:17" ht="13.8" thickBot="1" x14ac:dyDescent="0.25"/>
    <row r="2" spans="2:17" ht="27.6" x14ac:dyDescent="0.2">
      <c r="B2" s="30"/>
      <c r="C2" s="19" t="s">
        <v>7</v>
      </c>
      <c r="D2" s="15" t="s">
        <v>8</v>
      </c>
      <c r="E2" s="15" t="s">
        <v>8</v>
      </c>
      <c r="F2" s="15" t="s">
        <v>5</v>
      </c>
      <c r="G2" s="15" t="s">
        <v>6</v>
      </c>
      <c r="H2" s="15" t="s">
        <v>21</v>
      </c>
      <c r="I2" s="15" t="s">
        <v>22</v>
      </c>
      <c r="J2" s="16" t="s">
        <v>13</v>
      </c>
    </row>
    <row r="3" spans="2:17" ht="14.4" thickBot="1" x14ac:dyDescent="0.25">
      <c r="B3" s="31" t="s">
        <v>4</v>
      </c>
      <c r="C3" s="20" t="s">
        <v>14</v>
      </c>
      <c r="D3" s="17" t="s">
        <v>50</v>
      </c>
      <c r="E3" s="17" t="s">
        <v>20</v>
      </c>
      <c r="F3" s="17" t="s">
        <v>16</v>
      </c>
      <c r="G3" s="17" t="s">
        <v>17</v>
      </c>
      <c r="H3" s="17" t="s">
        <v>23</v>
      </c>
      <c r="I3" s="17" t="s">
        <v>18</v>
      </c>
      <c r="J3" s="18" t="s">
        <v>18</v>
      </c>
    </row>
    <row r="4" spans="2:17" ht="14.4" thickBot="1" x14ac:dyDescent="0.25">
      <c r="B4" s="125" t="s">
        <v>52</v>
      </c>
      <c r="C4" s="47">
        <v>12.1</v>
      </c>
      <c r="D4" s="117">
        <v>104</v>
      </c>
      <c r="E4" s="8">
        <f>D4/60</f>
        <v>1.7333333333333334</v>
      </c>
      <c r="F4" s="117">
        <v>999</v>
      </c>
      <c r="G4" s="34">
        <f>10^(-3)*$C$22*EXP((1+$D$22*(C4+273))/(($E$22*(C4+273)+($F$22*(C4+273)^2))))</f>
        <v>1.2366812318327851E-3</v>
      </c>
      <c r="H4" s="9">
        <v>4.1999999999999997E-3</v>
      </c>
      <c r="I4" s="34">
        <f>E4*$P$9^2*F4/G4</f>
        <v>14001.991422104273</v>
      </c>
      <c r="J4" s="209">
        <f>2*3.14*H4/(F4*E4^2*$P$9^5)</f>
        <v>0.87877818647049366</v>
      </c>
      <c r="L4" t="s">
        <v>72</v>
      </c>
    </row>
    <row r="5" spans="2:17" ht="13.8" x14ac:dyDescent="0.2">
      <c r="B5" s="248" t="s">
        <v>9</v>
      </c>
      <c r="C5" s="21"/>
      <c r="D5" s="60"/>
      <c r="E5" s="10"/>
      <c r="F5" s="60"/>
      <c r="G5" s="35"/>
      <c r="H5" s="109"/>
      <c r="I5" s="35"/>
      <c r="J5" s="65"/>
      <c r="N5" t="s">
        <v>74</v>
      </c>
      <c r="P5" t="s">
        <v>75</v>
      </c>
    </row>
    <row r="6" spans="2:17" ht="13.8" x14ac:dyDescent="0.2">
      <c r="B6" s="249"/>
      <c r="C6" s="22"/>
      <c r="D6" s="101"/>
      <c r="E6" s="3"/>
      <c r="F6" s="101"/>
      <c r="G6" s="36"/>
      <c r="H6" s="110"/>
      <c r="I6" s="36"/>
      <c r="J6" s="66"/>
      <c r="L6" t="s">
        <v>73</v>
      </c>
      <c r="M6" t="s">
        <v>76</v>
      </c>
      <c r="N6">
        <v>0.19</v>
      </c>
      <c r="O6" t="s">
        <v>77</v>
      </c>
    </row>
    <row r="7" spans="2:17" ht="13.8" x14ac:dyDescent="0.2">
      <c r="B7" s="249"/>
      <c r="C7" s="32"/>
      <c r="D7" s="102"/>
      <c r="E7" s="33"/>
      <c r="F7" s="102"/>
      <c r="G7" s="62"/>
      <c r="H7" s="111"/>
      <c r="I7" s="62"/>
      <c r="J7" s="63"/>
      <c r="L7" t="s">
        <v>78</v>
      </c>
      <c r="M7" t="s">
        <v>84</v>
      </c>
      <c r="N7">
        <v>1.4999999999999999E-2</v>
      </c>
      <c r="O7" t="s">
        <v>77</v>
      </c>
    </row>
    <row r="8" spans="2:17" ht="13.8" x14ac:dyDescent="0.2">
      <c r="B8" s="249"/>
      <c r="C8" s="32"/>
      <c r="D8" s="102"/>
      <c r="E8" s="33"/>
      <c r="F8" s="102"/>
      <c r="G8" s="62"/>
      <c r="H8" s="111"/>
      <c r="I8" s="62"/>
      <c r="J8" s="67"/>
      <c r="L8" t="s">
        <v>79</v>
      </c>
      <c r="M8" t="s">
        <v>85</v>
      </c>
      <c r="N8">
        <v>4</v>
      </c>
    </row>
    <row r="9" spans="2:17" ht="14.4" thickBot="1" x14ac:dyDescent="0.25">
      <c r="B9" s="250"/>
      <c r="C9" s="23"/>
      <c r="D9" s="103"/>
      <c r="E9" s="12"/>
      <c r="F9" s="103"/>
      <c r="G9" s="37"/>
      <c r="H9" s="116"/>
      <c r="I9" s="37"/>
      <c r="J9" s="64"/>
      <c r="L9" t="s">
        <v>80</v>
      </c>
      <c r="M9" t="s">
        <v>86</v>
      </c>
      <c r="P9">
        <v>0.1</v>
      </c>
      <c r="Q9" t="s">
        <v>77</v>
      </c>
    </row>
    <row r="10" spans="2:17" ht="13.8" x14ac:dyDescent="0.2">
      <c r="B10" s="251" t="s">
        <v>10</v>
      </c>
      <c r="C10" s="24"/>
      <c r="D10" s="104"/>
      <c r="E10" s="13"/>
      <c r="F10" s="104"/>
      <c r="G10" s="38"/>
      <c r="H10" s="112"/>
      <c r="I10" s="38"/>
      <c r="J10" s="70"/>
      <c r="L10" t="s">
        <v>81</v>
      </c>
      <c r="M10" t="s">
        <v>87</v>
      </c>
      <c r="P10">
        <v>1.4E-2</v>
      </c>
      <c r="Q10" t="s">
        <v>77</v>
      </c>
    </row>
    <row r="11" spans="2:17" ht="13.8" x14ac:dyDescent="0.2">
      <c r="B11" s="252"/>
      <c r="C11" s="25"/>
      <c r="D11" s="105"/>
      <c r="E11" s="4"/>
      <c r="F11" s="105"/>
      <c r="G11" s="39"/>
      <c r="H11" s="113"/>
      <c r="I11" s="39"/>
      <c r="J11" s="71"/>
      <c r="L11" t="s">
        <v>82</v>
      </c>
      <c r="M11" t="s">
        <v>88</v>
      </c>
      <c r="P11">
        <v>4</v>
      </c>
    </row>
    <row r="12" spans="2:17" ht="13.8" x14ac:dyDescent="0.2">
      <c r="B12" s="252"/>
      <c r="C12" s="25"/>
      <c r="D12" s="105"/>
      <c r="E12" s="4"/>
      <c r="F12" s="105"/>
      <c r="G12" s="39"/>
      <c r="H12" s="113"/>
      <c r="I12" s="39"/>
      <c r="J12" s="68"/>
      <c r="L12" t="s">
        <v>83</v>
      </c>
      <c r="P12">
        <v>45</v>
      </c>
    </row>
    <row r="13" spans="2:17" ht="13.8" x14ac:dyDescent="0.2">
      <c r="B13" s="252"/>
      <c r="C13" s="25"/>
      <c r="D13" s="105"/>
      <c r="E13" s="4"/>
      <c r="F13" s="105"/>
      <c r="G13" s="39"/>
      <c r="H13" s="113"/>
      <c r="I13" s="39"/>
      <c r="J13" s="68"/>
    </row>
    <row r="14" spans="2:17" ht="14.4" thickBot="1" x14ac:dyDescent="0.25">
      <c r="B14" s="253"/>
      <c r="C14" s="26"/>
      <c r="D14" s="106"/>
      <c r="E14" s="14"/>
      <c r="F14" s="106"/>
      <c r="G14" s="40"/>
      <c r="H14" s="114"/>
      <c r="I14" s="40"/>
      <c r="J14" s="69"/>
    </row>
    <row r="15" spans="2:17" ht="14.25" customHeight="1" x14ac:dyDescent="0.2">
      <c r="B15" s="254" t="s">
        <v>11</v>
      </c>
      <c r="C15" s="27"/>
      <c r="D15" s="74"/>
      <c r="E15" s="72"/>
      <c r="F15" s="74"/>
      <c r="G15" s="80"/>
      <c r="H15" s="107"/>
      <c r="I15" s="41"/>
      <c r="J15" s="79"/>
    </row>
    <row r="16" spans="2:17" ht="14.25" customHeight="1" x14ac:dyDescent="0.2">
      <c r="B16" s="255"/>
      <c r="C16" s="28"/>
      <c r="D16" s="75"/>
      <c r="E16" s="73"/>
      <c r="F16" s="75"/>
      <c r="G16" s="44"/>
      <c r="H16" s="108"/>
      <c r="I16" s="196"/>
      <c r="J16" s="77"/>
    </row>
    <row r="17" spans="2:14" ht="14.25" customHeight="1" x14ac:dyDescent="0.2">
      <c r="B17" s="255"/>
      <c r="C17" s="28"/>
      <c r="D17" s="75"/>
      <c r="E17" s="73"/>
      <c r="F17" s="75"/>
      <c r="G17" s="44"/>
      <c r="H17" s="108"/>
      <c r="I17" s="42"/>
      <c r="J17" s="77"/>
    </row>
    <row r="18" spans="2:14" ht="14.25" customHeight="1" x14ac:dyDescent="0.2">
      <c r="B18" s="255"/>
      <c r="C18" s="28"/>
      <c r="D18" s="75"/>
      <c r="E18" s="73"/>
      <c r="F18" s="75"/>
      <c r="G18" s="44"/>
      <c r="H18" s="108"/>
      <c r="I18" s="42"/>
      <c r="J18" s="77"/>
    </row>
    <row r="19" spans="2:14" ht="15" customHeight="1" thickBot="1" x14ac:dyDescent="0.25">
      <c r="B19" s="256"/>
      <c r="C19" s="29"/>
      <c r="D19" s="76"/>
      <c r="E19" s="55"/>
      <c r="F19" s="76"/>
      <c r="G19" s="45"/>
      <c r="H19" s="115"/>
      <c r="I19" s="43"/>
      <c r="J19" s="78"/>
    </row>
    <row r="21" spans="2:14" ht="13.8" x14ac:dyDescent="0.2">
      <c r="B21" s="5" t="s">
        <v>12</v>
      </c>
      <c r="C21" s="6" t="s">
        <v>0</v>
      </c>
      <c r="D21" s="6" t="s">
        <v>1</v>
      </c>
      <c r="E21" s="6" t="s">
        <v>2</v>
      </c>
      <c r="F21" s="6" t="s">
        <v>3</v>
      </c>
    </row>
    <row r="22" spans="2:14" ht="13.8" x14ac:dyDescent="0.2">
      <c r="C22" s="2">
        <v>1.2571870000000001E-2</v>
      </c>
      <c r="D22" s="2">
        <v>-5.8064359999999999E-3</v>
      </c>
      <c r="E22" s="2">
        <v>1.1309110000000001E-3</v>
      </c>
      <c r="F22" s="2">
        <v>-5.7239520000000001E-6</v>
      </c>
    </row>
    <row r="24" spans="2:14" ht="13.8" x14ac:dyDescent="0.2">
      <c r="B24" s="5" t="s">
        <v>24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ht="14.4" thickBot="1" x14ac:dyDescent="0.25"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ht="16.2" x14ac:dyDescent="0.2">
      <c r="B26" s="30"/>
      <c r="C26" s="19" t="s">
        <v>7</v>
      </c>
      <c r="D26" s="15" t="s">
        <v>25</v>
      </c>
      <c r="E26" s="15" t="s">
        <v>26</v>
      </c>
      <c r="F26" s="15" t="s">
        <v>5</v>
      </c>
      <c r="G26" s="15" t="s">
        <v>6</v>
      </c>
      <c r="H26" s="15" t="s">
        <v>31</v>
      </c>
      <c r="I26" s="15" t="s">
        <v>13</v>
      </c>
      <c r="J26" s="50" t="s">
        <v>51</v>
      </c>
      <c r="K26" s="50" t="s">
        <v>28</v>
      </c>
      <c r="L26" s="56" t="s">
        <v>27</v>
      </c>
      <c r="M26" s="30" t="s">
        <v>29</v>
      </c>
      <c r="N26" s="1"/>
    </row>
    <row r="27" spans="2:14" ht="16.8" thickBot="1" x14ac:dyDescent="0.25">
      <c r="B27" s="31" t="s">
        <v>4</v>
      </c>
      <c r="C27" s="20" t="s">
        <v>14</v>
      </c>
      <c r="D27" s="17" t="s">
        <v>19</v>
      </c>
      <c r="E27" s="17" t="s">
        <v>20</v>
      </c>
      <c r="F27" s="17" t="s">
        <v>30</v>
      </c>
      <c r="G27" s="17" t="s">
        <v>17</v>
      </c>
      <c r="H27" s="17" t="s">
        <v>23</v>
      </c>
      <c r="I27" s="17" t="s">
        <v>18</v>
      </c>
      <c r="J27" s="17" t="s">
        <v>18</v>
      </c>
      <c r="K27" s="17" t="s">
        <v>20</v>
      </c>
      <c r="L27" s="57" t="s">
        <v>15</v>
      </c>
      <c r="M27" s="58" t="s">
        <v>15</v>
      </c>
      <c r="N27" s="1"/>
    </row>
    <row r="28" spans="2:14" ht="13.8" x14ac:dyDescent="0.2">
      <c r="B28" s="49" t="s">
        <v>9</v>
      </c>
      <c r="C28" s="21"/>
      <c r="D28" s="46"/>
      <c r="E28" s="10"/>
      <c r="F28" s="60"/>
      <c r="G28" s="35"/>
      <c r="H28" s="11"/>
      <c r="I28" s="10"/>
      <c r="J28" s="46"/>
      <c r="K28" s="46"/>
      <c r="L28" s="118"/>
      <c r="M28" s="122"/>
      <c r="N28" s="1"/>
    </row>
    <row r="29" spans="2:14" ht="14.4" thickBot="1" x14ac:dyDescent="0.25">
      <c r="B29" s="51" t="s">
        <v>10</v>
      </c>
      <c r="C29" s="52"/>
      <c r="D29" s="61"/>
      <c r="E29" s="53"/>
      <c r="F29" s="124"/>
      <c r="G29" s="59"/>
      <c r="H29" s="54"/>
      <c r="I29" s="53"/>
      <c r="J29" s="53"/>
      <c r="K29" s="61"/>
      <c r="L29" s="119"/>
      <c r="M29" s="123"/>
      <c r="N29" s="1"/>
    </row>
    <row r="30" spans="2:14" ht="13.8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3">
    <mergeCell ref="B5:B9"/>
    <mergeCell ref="B10:B14"/>
    <mergeCell ref="B15:B19"/>
  </mergeCells>
  <phoneticPr fontId="20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0"/>
  <sheetViews>
    <sheetView topLeftCell="F9" zoomScale="108" zoomScaleNormal="100" workbookViewId="0">
      <selection activeCell="M13" sqref="M13"/>
    </sheetView>
  </sheetViews>
  <sheetFormatPr defaultRowHeight="13.2" x14ac:dyDescent="0.2"/>
  <cols>
    <col min="1" max="1" width="4.44140625" customWidth="1"/>
    <col min="2" max="2" width="24.88671875" customWidth="1"/>
    <col min="3" max="3" width="10.88671875" customWidth="1"/>
    <col min="4" max="4" width="10.6640625" customWidth="1"/>
    <col min="5" max="5" width="10.44140625" customWidth="1"/>
    <col min="6" max="6" width="11" customWidth="1"/>
    <col min="7" max="7" width="12.33203125" customWidth="1"/>
    <col min="8" max="8" width="15.77734375" customWidth="1"/>
    <col min="9" max="9" width="12.88671875" customWidth="1"/>
    <col min="10" max="10" width="12.33203125" bestFit="1" customWidth="1"/>
    <col min="12" max="12" width="13.44140625" customWidth="1"/>
    <col min="13" max="13" width="15.88671875" customWidth="1"/>
  </cols>
  <sheetData>
    <row r="1" spans="2:17" ht="13.8" thickBot="1" x14ac:dyDescent="0.25"/>
    <row r="2" spans="2:17" ht="13.8" x14ac:dyDescent="0.2">
      <c r="B2" s="30"/>
      <c r="C2" s="19" t="s">
        <v>7</v>
      </c>
      <c r="D2" s="15" t="s">
        <v>8</v>
      </c>
      <c r="E2" s="194" t="s">
        <v>89</v>
      </c>
      <c r="F2" s="15" t="s">
        <v>5</v>
      </c>
      <c r="G2" s="15" t="s">
        <v>6</v>
      </c>
      <c r="H2" s="15" t="s">
        <v>21</v>
      </c>
      <c r="I2" s="15" t="s">
        <v>22</v>
      </c>
      <c r="J2" s="16" t="s">
        <v>13</v>
      </c>
    </row>
    <row r="3" spans="2:17" ht="14.4" thickBot="1" x14ac:dyDescent="0.25">
      <c r="B3" s="31" t="s">
        <v>4</v>
      </c>
      <c r="C3" s="20" t="s">
        <v>14</v>
      </c>
      <c r="D3" s="17" t="s">
        <v>50</v>
      </c>
      <c r="E3" s="17" t="s">
        <v>20</v>
      </c>
      <c r="F3" s="17" t="s">
        <v>90</v>
      </c>
      <c r="G3" s="17" t="s">
        <v>17</v>
      </c>
      <c r="H3" s="17" t="s">
        <v>23</v>
      </c>
      <c r="I3" s="17" t="s">
        <v>18</v>
      </c>
      <c r="J3" s="18" t="s">
        <v>18</v>
      </c>
    </row>
    <row r="4" spans="2:17" ht="14.4" thickBot="1" x14ac:dyDescent="0.25">
      <c r="B4" s="125" t="s">
        <v>53</v>
      </c>
      <c r="C4" s="47"/>
      <c r="D4" s="117"/>
      <c r="E4" s="8"/>
      <c r="F4" s="117"/>
      <c r="G4" s="34"/>
      <c r="H4" s="9"/>
      <c r="I4" s="34"/>
      <c r="J4" s="48"/>
      <c r="L4" t="s">
        <v>72</v>
      </c>
    </row>
    <row r="5" spans="2:17" ht="14.4" thickBot="1" x14ac:dyDescent="0.25">
      <c r="B5" s="248" t="s">
        <v>9</v>
      </c>
      <c r="C5" s="21">
        <v>13.7</v>
      </c>
      <c r="D5" s="60">
        <v>181</v>
      </c>
      <c r="E5" s="10">
        <f>D5/60</f>
        <v>3.0166666666666666</v>
      </c>
      <c r="F5" s="60">
        <f>0.999*10^3</f>
        <v>999</v>
      </c>
      <c r="G5" s="35">
        <f>10^(-3)*$C$22*EXP((1+$D$22*(C5+273))/(($E$22*(C5+273)+($F$22*(C5+273)^2))))</f>
        <v>1.1834379479064969E-3</v>
      </c>
      <c r="H5" s="221">
        <v>4.7999999999999996E-3</v>
      </c>
      <c r="I5" s="212">
        <f>E5*$P$9^2*F5/G5</f>
        <v>25465.213493712541</v>
      </c>
      <c r="J5" s="200">
        <f>2*3.14*H5/(F5*E5^2*$P$9^5)</f>
        <v>0.33157421027144163</v>
      </c>
      <c r="N5" t="s">
        <v>74</v>
      </c>
      <c r="P5" t="s">
        <v>75</v>
      </c>
    </row>
    <row r="6" spans="2:17" ht="14.4" thickBot="1" x14ac:dyDescent="0.25">
      <c r="B6" s="249"/>
      <c r="C6" s="22">
        <v>13.7</v>
      </c>
      <c r="D6" s="101">
        <v>230</v>
      </c>
      <c r="E6" s="10">
        <f t="shared" ref="E6:E19" si="0">D6/60</f>
        <v>3.8333333333333335</v>
      </c>
      <c r="F6" s="60">
        <f t="shared" ref="F6:F14" si="1">0.999*10^3</f>
        <v>999</v>
      </c>
      <c r="G6" s="35">
        <f t="shared" ref="G6:G14" si="2">10^(-3)*$C$22*EXP((1+$D$22*(C6+273))/(($E$22*(C6+273)+($F$22*(C6+273)^2))))</f>
        <v>1.1834379479064969E-3</v>
      </c>
      <c r="H6" s="222">
        <v>7.3000000000000001E-3</v>
      </c>
      <c r="I6" s="213">
        <f t="shared" ref="I6:I19" si="3">E6*$P$9^2*F6/G6</f>
        <v>32359.111069358481</v>
      </c>
      <c r="J6" s="200">
        <f t="shared" ref="J6:J18" si="4">2*3.14*H6/(F6*E6^2*$P$9^5)</f>
        <v>0.31229414669868333</v>
      </c>
      <c r="L6" t="s">
        <v>73</v>
      </c>
      <c r="M6" t="s">
        <v>76</v>
      </c>
      <c r="N6">
        <v>0.19</v>
      </c>
      <c r="O6" t="s">
        <v>77</v>
      </c>
    </row>
    <row r="7" spans="2:17" ht="14.4" thickBot="1" x14ac:dyDescent="0.25">
      <c r="B7" s="249"/>
      <c r="C7" s="32">
        <v>13.7</v>
      </c>
      <c r="D7" s="102">
        <v>312</v>
      </c>
      <c r="E7" s="10">
        <f t="shared" si="0"/>
        <v>5.2</v>
      </c>
      <c r="F7" s="60">
        <f t="shared" si="1"/>
        <v>999</v>
      </c>
      <c r="G7" s="35">
        <f t="shared" si="2"/>
        <v>1.1834379479064969E-3</v>
      </c>
      <c r="H7" s="223">
        <f>1.27*10^(-2)</f>
        <v>1.2700000000000001E-2</v>
      </c>
      <c r="I7" s="214">
        <f t="shared" si="3"/>
        <v>43895.837624521075</v>
      </c>
      <c r="J7" s="200">
        <f>2*3.14*H7/(F7*E7^2*$P$9^5)</f>
        <v>0.29525087217394891</v>
      </c>
      <c r="L7" t="s">
        <v>78</v>
      </c>
      <c r="M7" t="s">
        <v>84</v>
      </c>
      <c r="N7">
        <v>1.4999999999999999E-2</v>
      </c>
      <c r="O7" t="s">
        <v>77</v>
      </c>
    </row>
    <row r="8" spans="2:17" ht="14.4" thickBot="1" x14ac:dyDescent="0.25">
      <c r="B8" s="249"/>
      <c r="C8" s="32">
        <v>13.7</v>
      </c>
      <c r="D8" s="102">
        <v>101</v>
      </c>
      <c r="E8" s="10">
        <f t="shared" si="0"/>
        <v>1.6833333333333333</v>
      </c>
      <c r="F8" s="60">
        <f t="shared" si="1"/>
        <v>999</v>
      </c>
      <c r="G8" s="35">
        <f t="shared" si="2"/>
        <v>1.1834379479064969E-3</v>
      </c>
      <c r="H8" s="223">
        <f>0.13*10^(-2)</f>
        <v>1.3000000000000002E-3</v>
      </c>
      <c r="I8" s="214">
        <f t="shared" si="3"/>
        <v>14209.870513066115</v>
      </c>
      <c r="J8" s="200">
        <f t="shared" si="4"/>
        <v>0.28840133143632785</v>
      </c>
      <c r="L8" t="s">
        <v>79</v>
      </c>
      <c r="M8" t="s">
        <v>85</v>
      </c>
      <c r="N8">
        <v>4</v>
      </c>
    </row>
    <row r="9" spans="2:17" ht="14.4" thickBot="1" x14ac:dyDescent="0.25">
      <c r="B9" s="250"/>
      <c r="C9" s="23">
        <v>13.7</v>
      </c>
      <c r="D9" s="103">
        <v>338</v>
      </c>
      <c r="E9" s="10">
        <f t="shared" si="0"/>
        <v>5.6333333333333337</v>
      </c>
      <c r="F9" s="60">
        <f t="shared" si="1"/>
        <v>999</v>
      </c>
      <c r="G9" s="35">
        <f t="shared" si="2"/>
        <v>1.1834379479064969E-3</v>
      </c>
      <c r="H9" s="224">
        <v>1.4999999999999999E-2</v>
      </c>
      <c r="I9" s="215">
        <f t="shared" si="3"/>
        <v>47553.82409323116</v>
      </c>
      <c r="J9" s="200">
        <f t="shared" si="4"/>
        <v>0.29713548147776619</v>
      </c>
      <c r="L9" t="s">
        <v>80</v>
      </c>
      <c r="M9" t="s">
        <v>86</v>
      </c>
      <c r="P9">
        <v>0.1</v>
      </c>
      <c r="Q9" t="s">
        <v>77</v>
      </c>
    </row>
    <row r="10" spans="2:17" ht="13.8" x14ac:dyDescent="0.2">
      <c r="B10" s="251" t="s">
        <v>10</v>
      </c>
      <c r="C10" s="24">
        <v>14.3</v>
      </c>
      <c r="D10" s="104">
        <v>101</v>
      </c>
      <c r="E10" s="184">
        <f t="shared" si="0"/>
        <v>1.6833333333333333</v>
      </c>
      <c r="F10" s="188">
        <f t="shared" si="1"/>
        <v>999</v>
      </c>
      <c r="G10" s="191">
        <f t="shared" si="2"/>
        <v>1.1644117723577643E-3</v>
      </c>
      <c r="H10" s="181">
        <v>3.5000000000000001E-3</v>
      </c>
      <c r="I10" s="216">
        <f t="shared" si="3"/>
        <v>14442.055979861005</v>
      </c>
      <c r="J10" s="201">
        <f t="shared" si="4"/>
        <v>0.7764651230978058</v>
      </c>
      <c r="L10" t="s">
        <v>81</v>
      </c>
      <c r="M10" t="s">
        <v>87</v>
      </c>
      <c r="P10">
        <v>1.4E-2</v>
      </c>
      <c r="Q10" t="s">
        <v>77</v>
      </c>
    </row>
    <row r="11" spans="2:17" ht="13.8" x14ac:dyDescent="0.2">
      <c r="B11" s="252"/>
      <c r="C11" s="25">
        <v>14.3</v>
      </c>
      <c r="D11" s="105">
        <v>146</v>
      </c>
      <c r="E11" s="185">
        <f t="shared" si="0"/>
        <v>2.4333333333333331</v>
      </c>
      <c r="F11" s="189">
        <f t="shared" si="1"/>
        <v>999</v>
      </c>
      <c r="G11" s="192">
        <f t="shared" si="2"/>
        <v>1.1644117723577643E-3</v>
      </c>
      <c r="H11" s="182">
        <v>8.0000000000000002E-3</v>
      </c>
      <c r="I11" s="217">
        <f t="shared" si="3"/>
        <v>20876.635376828777</v>
      </c>
      <c r="J11" s="201">
        <f t="shared" si="4"/>
        <v>0.84933873637195045</v>
      </c>
      <c r="L11" t="s">
        <v>82</v>
      </c>
      <c r="M11" t="s">
        <v>88</v>
      </c>
      <c r="P11">
        <v>4</v>
      </c>
    </row>
    <row r="12" spans="2:17" ht="13.8" x14ac:dyDescent="0.2">
      <c r="B12" s="252"/>
      <c r="C12" s="25">
        <v>14.3</v>
      </c>
      <c r="D12" s="105">
        <v>229</v>
      </c>
      <c r="E12" s="185">
        <f t="shared" si="0"/>
        <v>3.8166666666666669</v>
      </c>
      <c r="F12" s="189">
        <f t="shared" si="1"/>
        <v>999</v>
      </c>
      <c r="G12" s="192">
        <f t="shared" si="2"/>
        <v>1.1644117723577643E-3</v>
      </c>
      <c r="H12" s="182">
        <v>1.7999999999999999E-2</v>
      </c>
      <c r="I12" s="217">
        <f t="shared" si="3"/>
        <v>32744.85959790268</v>
      </c>
      <c r="J12" s="201">
        <f t="shared" si="4"/>
        <v>0.77678028899401452</v>
      </c>
      <c r="L12" t="s">
        <v>83</v>
      </c>
      <c r="P12">
        <v>45</v>
      </c>
    </row>
    <row r="13" spans="2:17" ht="13.8" x14ac:dyDescent="0.2">
      <c r="B13" s="252"/>
      <c r="C13" s="25">
        <v>14.3</v>
      </c>
      <c r="D13" s="105">
        <v>205</v>
      </c>
      <c r="E13" s="185">
        <f t="shared" si="0"/>
        <v>3.4166666666666665</v>
      </c>
      <c r="F13" s="189">
        <f t="shared" si="1"/>
        <v>999</v>
      </c>
      <c r="G13" s="192">
        <f t="shared" si="2"/>
        <v>1.1644117723577643E-3</v>
      </c>
      <c r="H13" s="182">
        <v>1.55E-2</v>
      </c>
      <c r="I13" s="217">
        <f t="shared" si="3"/>
        <v>29313.083919519868</v>
      </c>
      <c r="J13" s="201">
        <f t="shared" si="4"/>
        <v>0.83468120112974331</v>
      </c>
    </row>
    <row r="14" spans="2:17" ht="14.4" thickBot="1" x14ac:dyDescent="0.25">
      <c r="B14" s="253"/>
      <c r="C14" s="26">
        <v>14.3</v>
      </c>
      <c r="D14" s="106">
        <v>286</v>
      </c>
      <c r="E14" s="186">
        <f t="shared" si="0"/>
        <v>4.7666666666666666</v>
      </c>
      <c r="F14" s="190">
        <f t="shared" si="1"/>
        <v>999</v>
      </c>
      <c r="G14" s="193">
        <f t="shared" si="2"/>
        <v>1.1644117723577643E-3</v>
      </c>
      <c r="H14" s="183">
        <v>2.98E-2</v>
      </c>
      <c r="I14" s="218">
        <f t="shared" si="3"/>
        <v>40895.32683406186</v>
      </c>
      <c r="J14" s="202">
        <f t="shared" si="4"/>
        <v>0.82448138392194292</v>
      </c>
    </row>
    <row r="15" spans="2:17" ht="14.25" customHeight="1" thickBot="1" x14ac:dyDescent="0.25">
      <c r="B15" s="254" t="s">
        <v>11</v>
      </c>
      <c r="C15" s="27">
        <v>16.2</v>
      </c>
      <c r="D15" s="74">
        <v>38</v>
      </c>
      <c r="E15" s="79">
        <f t="shared" si="0"/>
        <v>0.6333333333333333</v>
      </c>
      <c r="F15" s="41">
        <v>1248</v>
      </c>
      <c r="G15" s="210">
        <f>EXP(2.1629-0.08695*C15)</f>
        <v>2.1261439777656364</v>
      </c>
      <c r="H15" s="206">
        <v>7.6E-3</v>
      </c>
      <c r="I15" s="219">
        <f t="shared" si="3"/>
        <v>3.7175281084709564</v>
      </c>
      <c r="J15" s="203">
        <f>2*3.14*H15/(F15*E15^2*$P$9^5)</f>
        <v>9.5344129554655819</v>
      </c>
    </row>
    <row r="16" spans="2:17" ht="14.25" customHeight="1" thickBot="1" x14ac:dyDescent="0.25">
      <c r="B16" s="255"/>
      <c r="C16" s="28">
        <v>16.2</v>
      </c>
      <c r="D16" s="75">
        <v>90</v>
      </c>
      <c r="E16" s="77">
        <f t="shared" si="0"/>
        <v>1.5</v>
      </c>
      <c r="F16" s="41">
        <v>1248</v>
      </c>
      <c r="G16" s="210">
        <f t="shared" ref="G16:G19" si="5">EXP(2.1629-0.08695*C16)</f>
        <v>2.1261439777656364</v>
      </c>
      <c r="H16" s="207">
        <v>1.7999999999999999E-2</v>
      </c>
      <c r="I16" s="196">
        <f t="shared" si="3"/>
        <v>8.8046718358522646</v>
      </c>
      <c r="J16" s="204">
        <f t="shared" si="4"/>
        <v>4.0256410256410229</v>
      </c>
    </row>
    <row r="17" spans="2:14" ht="14.25" customHeight="1" thickBot="1" x14ac:dyDescent="0.25">
      <c r="B17" s="255"/>
      <c r="C17" s="28">
        <v>16.2</v>
      </c>
      <c r="D17" s="75">
        <v>133</v>
      </c>
      <c r="E17" s="77">
        <f t="shared" si="0"/>
        <v>2.2166666666666668</v>
      </c>
      <c r="F17" s="41">
        <v>1248</v>
      </c>
      <c r="G17" s="210">
        <f t="shared" si="5"/>
        <v>2.1261439777656364</v>
      </c>
      <c r="H17" s="207">
        <v>3.0800000000000001E-2</v>
      </c>
      <c r="I17" s="196">
        <f t="shared" si="3"/>
        <v>13.011348379648348</v>
      </c>
      <c r="J17" s="204">
        <f t="shared" si="4"/>
        <v>3.1542418800036507</v>
      </c>
    </row>
    <row r="18" spans="2:14" ht="14.25" customHeight="1" thickBot="1" x14ac:dyDescent="0.25">
      <c r="B18" s="255"/>
      <c r="C18" s="28">
        <v>16.2</v>
      </c>
      <c r="D18" s="75">
        <v>203</v>
      </c>
      <c r="E18" s="77">
        <f t="shared" si="0"/>
        <v>3.3833333333333333</v>
      </c>
      <c r="F18" s="41">
        <v>1248</v>
      </c>
      <c r="G18" s="210">
        <f t="shared" si="5"/>
        <v>2.1261439777656364</v>
      </c>
      <c r="H18" s="207">
        <v>5.1999999999999998E-2</v>
      </c>
      <c r="I18" s="196">
        <f t="shared" si="3"/>
        <v>19.859426474200109</v>
      </c>
      <c r="J18" s="204">
        <f t="shared" si="4"/>
        <v>2.2859084180640141</v>
      </c>
    </row>
    <row r="19" spans="2:14" ht="15" customHeight="1" thickBot="1" x14ac:dyDescent="0.25">
      <c r="B19" s="256"/>
      <c r="C19" s="29">
        <v>16.2</v>
      </c>
      <c r="D19" s="76">
        <v>312</v>
      </c>
      <c r="E19" s="78">
        <f t="shared" si="0"/>
        <v>5.2</v>
      </c>
      <c r="F19" s="41">
        <v>1248</v>
      </c>
      <c r="G19" s="210">
        <f t="shared" si="5"/>
        <v>2.1261439777656364</v>
      </c>
      <c r="H19" s="208">
        <v>9.5000000000000001E-2</v>
      </c>
      <c r="I19" s="220">
        <f t="shared" si="3"/>
        <v>30.522862364287853</v>
      </c>
      <c r="J19" s="205">
        <f>2*3.14*H19/(F19*E19^2*$P$9^5)</f>
        <v>1.7679174252768914</v>
      </c>
    </row>
    <row r="21" spans="2:14" ht="13.8" x14ac:dyDescent="0.2">
      <c r="B21" s="5" t="s">
        <v>12</v>
      </c>
      <c r="C21" s="6" t="s">
        <v>0</v>
      </c>
      <c r="D21" s="6" t="s">
        <v>1</v>
      </c>
      <c r="E21" s="6" t="s">
        <v>2</v>
      </c>
      <c r="F21" s="6" t="s">
        <v>3</v>
      </c>
    </row>
    <row r="22" spans="2:14" ht="13.8" x14ac:dyDescent="0.2">
      <c r="C22" s="2">
        <v>1.2571870000000001E-2</v>
      </c>
      <c r="D22" s="2">
        <v>-5.8064359999999999E-3</v>
      </c>
      <c r="E22" s="2">
        <v>1.1309110000000001E-3</v>
      </c>
      <c r="F22" s="2">
        <v>-5.7239520000000001E-6</v>
      </c>
    </row>
    <row r="24" spans="2:14" ht="13.8" x14ac:dyDescent="0.2">
      <c r="B24" s="5" t="s">
        <v>24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ht="14.4" thickBot="1" x14ac:dyDescent="0.25"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ht="16.2" x14ac:dyDescent="0.2">
      <c r="B26" s="30"/>
      <c r="C26" s="19" t="s">
        <v>7</v>
      </c>
      <c r="D26" s="15" t="s">
        <v>25</v>
      </c>
      <c r="E26" s="15" t="s">
        <v>26</v>
      </c>
      <c r="F26" s="15" t="s">
        <v>5</v>
      </c>
      <c r="G26" s="15" t="s">
        <v>6</v>
      </c>
      <c r="H26" s="15" t="s">
        <v>31</v>
      </c>
      <c r="I26" s="15" t="s">
        <v>13</v>
      </c>
      <c r="J26" s="50" t="s">
        <v>51</v>
      </c>
      <c r="K26" s="50" t="s">
        <v>28</v>
      </c>
      <c r="L26" s="56" t="s">
        <v>27</v>
      </c>
      <c r="M26" s="30" t="s">
        <v>29</v>
      </c>
      <c r="N26" s="1"/>
    </row>
    <row r="27" spans="2:14" ht="16.8" thickBot="1" x14ac:dyDescent="0.25">
      <c r="B27" s="31" t="s">
        <v>4</v>
      </c>
      <c r="C27" s="20" t="s">
        <v>14</v>
      </c>
      <c r="D27" s="17" t="s">
        <v>19</v>
      </c>
      <c r="E27" s="17" t="s">
        <v>20</v>
      </c>
      <c r="F27" s="17" t="s">
        <v>30</v>
      </c>
      <c r="G27" s="17" t="s">
        <v>17</v>
      </c>
      <c r="H27" s="17" t="s">
        <v>23</v>
      </c>
      <c r="I27" s="17" t="s">
        <v>18</v>
      </c>
      <c r="J27" s="17" t="s">
        <v>18</v>
      </c>
      <c r="K27" s="17" t="s">
        <v>20</v>
      </c>
      <c r="L27" s="57" t="s">
        <v>15</v>
      </c>
      <c r="M27" s="58" t="s">
        <v>15</v>
      </c>
      <c r="N27" s="1"/>
    </row>
    <row r="28" spans="2:14" ht="13.8" x14ac:dyDescent="0.2">
      <c r="B28" s="49" t="s">
        <v>9</v>
      </c>
      <c r="C28" s="21">
        <v>12.1</v>
      </c>
      <c r="D28" s="46">
        <v>0.14699999999999999</v>
      </c>
      <c r="E28" s="10">
        <f>101/60</f>
        <v>1.6833333333333333</v>
      </c>
      <c r="F28" s="60">
        <v>999</v>
      </c>
      <c r="G28" s="35">
        <f t="shared" ref="G28:G29" si="6">10^(-3)*$C$22*EXP((1+$D$22*(C28+273))/(($E$22*(C28+273)+($F$22*(C28+273)^2))))</f>
        <v>1.2366812318327851E-3</v>
      </c>
      <c r="H28" s="199">
        <v>2.0999999999999999E-3</v>
      </c>
      <c r="I28" s="10">
        <f>2*3.14*H28/(F28*E28^2*$P$9^5)</f>
        <v>0.46587907385868343</v>
      </c>
      <c r="J28" s="46">
        <f>0.12*($P$11*$P$10/$P$9)^(1/3)*($N$6/$P$9)^0.92*(D28/$N$6)^0.5*SQRT(I28)</f>
        <v>0.10718048136869454</v>
      </c>
      <c r="K28" s="46">
        <f>E28*0.092*((($P$9/$N$6)^3*J28)+(0.21*($P$9/$N$6)*(I28/J28)^0.5))*(1-EXP(-13*($P$9/$N$6)^2))</f>
        <v>3.7066303197002395E-2</v>
      </c>
      <c r="L28" s="118">
        <f>1/K28</f>
        <v>26.978681814723608</v>
      </c>
      <c r="M28" s="122"/>
      <c r="N28" s="1"/>
    </row>
    <row r="29" spans="2:14" ht="14.4" thickBot="1" x14ac:dyDescent="0.25">
      <c r="B29" s="51" t="s">
        <v>10</v>
      </c>
      <c r="C29" s="52">
        <v>12.1</v>
      </c>
      <c r="D29" s="61">
        <v>0.14699999999999999</v>
      </c>
      <c r="E29" s="53">
        <f>104/60</f>
        <v>1.7333333333333334</v>
      </c>
      <c r="F29" s="124">
        <v>999</v>
      </c>
      <c r="G29" s="59">
        <f t="shared" si="6"/>
        <v>1.2366812318327851E-3</v>
      </c>
      <c r="H29" s="211">
        <v>4.1999999999999997E-3</v>
      </c>
      <c r="I29" s="53">
        <f>2*3.14*H29/(F29*E29^2*$P$9^5)</f>
        <v>0.87877818647049366</v>
      </c>
      <c r="J29" s="226">
        <f>0.12*($P$11*$P$10/$P$9)^(1/3)*($N$6/$P$9)^0.92*(D29/$N$6)^0.5*SQRT(I29)</f>
        <v>0.14720370315097833</v>
      </c>
      <c r="K29" s="225">
        <f>E29*0.092*((($P$9/$N$6)^3*J29)+(0.21*($P$9/$N$6)*(I29/J29)^0.5))*(1-EXP(-13*($P$9/$N$6)^2))</f>
        <v>4.5217748358804995E-2</v>
      </c>
      <c r="L29" s="119">
        <f>1/K29</f>
        <v>22.1152099849146</v>
      </c>
      <c r="M29" s="123"/>
      <c r="N29" s="1"/>
    </row>
    <row r="30" spans="2:14" ht="13.8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3">
    <mergeCell ref="B5:B9"/>
    <mergeCell ref="B10:B14"/>
    <mergeCell ref="B15:B19"/>
  </mergeCells>
  <phoneticPr fontId="20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45"/>
  <sheetViews>
    <sheetView tabSelected="1" topLeftCell="A2" zoomScale="85" zoomScaleNormal="85" workbookViewId="0">
      <selection activeCell="B2" sqref="B2:J34"/>
    </sheetView>
  </sheetViews>
  <sheetFormatPr defaultColWidth="9" defaultRowHeight="13.8" x14ac:dyDescent="0.2"/>
  <cols>
    <col min="1" max="1" width="4.44140625" style="1" customWidth="1"/>
    <col min="2" max="2" width="22.44140625" style="1" bestFit="1" customWidth="1"/>
    <col min="3" max="3" width="10.88671875" style="1" customWidth="1"/>
    <col min="4" max="4" width="10.6640625" style="1" customWidth="1"/>
    <col min="5" max="5" width="10.44140625" style="1" customWidth="1"/>
    <col min="6" max="6" width="11" style="1" customWidth="1"/>
    <col min="7" max="7" width="12.33203125" style="1" customWidth="1"/>
    <col min="8" max="8" width="11.33203125" style="1" customWidth="1"/>
    <col min="9" max="9" width="12.88671875" style="239" customWidth="1"/>
    <col min="10" max="10" width="10.33203125" style="1" bestFit="1" customWidth="1"/>
    <col min="11" max="11" width="15.21875" style="1" customWidth="1"/>
    <col min="12" max="12" width="12.88671875" style="1" customWidth="1"/>
    <col min="13" max="13" width="6.5546875" style="1" customWidth="1"/>
    <col min="14" max="14" width="9.88671875" style="1" customWidth="1"/>
    <col min="15" max="16384" width="9" style="1"/>
  </cols>
  <sheetData>
    <row r="1" spans="2:22" ht="14.4" thickBot="1" x14ac:dyDescent="0.25"/>
    <row r="2" spans="2:22" ht="27.6" x14ac:dyDescent="0.2">
      <c r="B2" s="30"/>
      <c r="C2" s="19" t="s">
        <v>7</v>
      </c>
      <c r="D2" s="15" t="s">
        <v>25</v>
      </c>
      <c r="E2" s="15" t="s">
        <v>26</v>
      </c>
      <c r="F2" s="15" t="s">
        <v>5</v>
      </c>
      <c r="G2" s="15" t="s">
        <v>6</v>
      </c>
      <c r="H2" s="15" t="s">
        <v>31</v>
      </c>
      <c r="I2" s="240" t="s">
        <v>22</v>
      </c>
      <c r="J2" s="16" t="s">
        <v>13</v>
      </c>
    </row>
    <row r="3" spans="2:22" ht="16.8" thickBot="1" x14ac:dyDescent="0.25">
      <c r="B3" s="31" t="s">
        <v>4</v>
      </c>
      <c r="C3" s="20" t="s">
        <v>14</v>
      </c>
      <c r="D3" s="17" t="s">
        <v>19</v>
      </c>
      <c r="E3" s="17" t="s">
        <v>20</v>
      </c>
      <c r="F3" s="17" t="s">
        <v>30</v>
      </c>
      <c r="G3" s="17" t="s">
        <v>17</v>
      </c>
      <c r="H3" s="17" t="s">
        <v>32</v>
      </c>
      <c r="I3" s="241" t="s">
        <v>18</v>
      </c>
      <c r="J3" s="18" t="s">
        <v>18</v>
      </c>
    </row>
    <row r="4" spans="2:22" ht="14.4" thickBot="1" x14ac:dyDescent="0.25">
      <c r="B4" s="125" t="s">
        <v>52</v>
      </c>
      <c r="C4" s="47"/>
      <c r="D4" s="88"/>
      <c r="E4" s="8"/>
      <c r="F4" s="117"/>
      <c r="G4" s="34"/>
      <c r="H4" s="9"/>
      <c r="I4" s="195"/>
      <c r="J4" s="48"/>
      <c r="K4" s="7"/>
      <c r="L4" t="s">
        <v>72</v>
      </c>
      <c r="M4"/>
      <c r="N4"/>
      <c r="O4"/>
      <c r="P4"/>
      <c r="Q4"/>
    </row>
    <row r="5" spans="2:22" ht="14.4" thickBot="1" x14ac:dyDescent="0.25">
      <c r="B5" s="248" t="s">
        <v>9</v>
      </c>
      <c r="C5" s="227">
        <v>15</v>
      </c>
      <c r="D5" s="46">
        <v>0.15</v>
      </c>
      <c r="E5" s="65">
        <f>89/60</f>
        <v>1.4833333333333334</v>
      </c>
      <c r="F5" s="60">
        <v>999</v>
      </c>
      <c r="G5" s="35">
        <f>10^(-3)*$C$37*EXP((1+$D$37*(C5+273))/(($E$37*(C5+273)+($F$37*(C5+273)^2))))</f>
        <v>1.1428267761372419E-3</v>
      </c>
      <c r="H5" s="65">
        <v>0.12</v>
      </c>
      <c r="I5" s="199">
        <f t="shared" ref="I5:I34" si="0">E5*$P$9^2*F5/G5</f>
        <v>12966.532032165522</v>
      </c>
      <c r="J5" s="65">
        <f t="shared" ref="J5:J34" si="1">2*3.14*H5/100/(F5*E5^2*$P$9^5)</f>
        <v>0.34284505437137658</v>
      </c>
      <c r="L5"/>
      <c r="M5"/>
      <c r="N5" t="s">
        <v>99</v>
      </c>
      <c r="O5"/>
      <c r="P5" t="s">
        <v>75</v>
      </c>
      <c r="Q5"/>
    </row>
    <row r="6" spans="2:22" ht="14.4" thickBot="1" x14ac:dyDescent="0.25">
      <c r="B6" s="249"/>
      <c r="C6" s="228">
        <v>15</v>
      </c>
      <c r="D6" s="231">
        <v>0.15</v>
      </c>
      <c r="E6" s="66">
        <f>128/60</f>
        <v>2.1333333333333333</v>
      </c>
      <c r="F6" s="101">
        <v>999</v>
      </c>
      <c r="G6" s="36">
        <f t="shared" ref="G6:G24" si="2">10^(-3)*$C$37*EXP((1+$D$37*(C6+273))/(($E$37*(C6+273)+($F$37*(C6+273)^2))))</f>
        <v>1.1428267761372419E-3</v>
      </c>
      <c r="H6" s="66">
        <v>0.22</v>
      </c>
      <c r="I6" s="199">
        <f t="shared" si="0"/>
        <v>18648.49550693468</v>
      </c>
      <c r="J6" s="66">
        <f t="shared" si="1"/>
        <v>0.30387809684684669</v>
      </c>
      <c r="L6" t="s">
        <v>73</v>
      </c>
      <c r="M6" t="s">
        <v>95</v>
      </c>
      <c r="N6">
        <v>0.19</v>
      </c>
      <c r="O6"/>
      <c r="P6"/>
      <c r="Q6"/>
    </row>
    <row r="7" spans="2:22" ht="14.4" thickBot="1" x14ac:dyDescent="0.25">
      <c r="B7" s="249"/>
      <c r="C7" s="228">
        <v>15</v>
      </c>
      <c r="D7" s="231">
        <v>0.15</v>
      </c>
      <c r="E7" s="66">
        <f>147/60</f>
        <v>2.4500000000000002</v>
      </c>
      <c r="F7" s="101">
        <v>999</v>
      </c>
      <c r="G7" s="36">
        <f t="shared" si="2"/>
        <v>1.1428267761372419E-3</v>
      </c>
      <c r="H7" s="66">
        <v>0.28000000000000003</v>
      </c>
      <c r="I7" s="199">
        <f t="shared" si="0"/>
        <v>21416.631558745303</v>
      </c>
      <c r="J7" s="66">
        <f t="shared" si="1"/>
        <v>0.29323784425825222</v>
      </c>
      <c r="L7" t="s">
        <v>78</v>
      </c>
      <c r="M7" t="s">
        <v>96</v>
      </c>
      <c r="N7">
        <v>1.4999999999999999E-2</v>
      </c>
      <c r="O7"/>
      <c r="P7"/>
      <c r="Q7"/>
    </row>
    <row r="8" spans="2:22" ht="14.4" thickBot="1" x14ac:dyDescent="0.25">
      <c r="B8" s="249"/>
      <c r="C8" s="228">
        <v>15</v>
      </c>
      <c r="D8" s="231">
        <v>0.15</v>
      </c>
      <c r="E8" s="66">
        <f>M15/60</f>
        <v>2.6666666666666665</v>
      </c>
      <c r="F8" s="101">
        <v>999</v>
      </c>
      <c r="G8" s="36">
        <f t="shared" si="2"/>
        <v>1.1428267761372419E-3</v>
      </c>
      <c r="H8" s="66">
        <v>0.34</v>
      </c>
      <c r="I8" s="199">
        <f t="shared" si="0"/>
        <v>23310.619383668352</v>
      </c>
      <c r="J8" s="66">
        <f t="shared" si="1"/>
        <v>0.30056306306306291</v>
      </c>
      <c r="L8" t="s">
        <v>79</v>
      </c>
      <c r="M8" t="s">
        <v>85</v>
      </c>
      <c r="N8">
        <v>4</v>
      </c>
      <c r="O8"/>
      <c r="P8"/>
      <c r="Q8"/>
      <c r="S8" s="162">
        <v>15</v>
      </c>
      <c r="T8" s="172">
        <v>89</v>
      </c>
      <c r="U8" s="163">
        <v>0.12</v>
      </c>
      <c r="V8" s="164">
        <v>0.15</v>
      </c>
    </row>
    <row r="9" spans="2:22" ht="14.4" thickBot="1" x14ac:dyDescent="0.25">
      <c r="B9" s="249"/>
      <c r="C9" s="228">
        <v>15</v>
      </c>
      <c r="D9" s="231">
        <v>0.15</v>
      </c>
      <c r="E9" s="66">
        <f t="shared" ref="E9:E34" si="3">M16/60</f>
        <v>3.0833333333333335</v>
      </c>
      <c r="F9" s="101">
        <v>999</v>
      </c>
      <c r="G9" s="36">
        <f t="shared" si="2"/>
        <v>1.1428267761372419E-3</v>
      </c>
      <c r="H9" s="66">
        <v>0.45</v>
      </c>
      <c r="I9" s="199">
        <f t="shared" si="0"/>
        <v>26952.903662366534</v>
      </c>
      <c r="J9" s="66">
        <f t="shared" si="1"/>
        <v>0.29755394547213376</v>
      </c>
      <c r="L9" t="s">
        <v>80</v>
      </c>
      <c r="M9" t="s">
        <v>97</v>
      </c>
      <c r="N9"/>
      <c r="O9"/>
      <c r="P9">
        <v>0.1</v>
      </c>
      <c r="Q9"/>
      <c r="S9" s="137">
        <v>15</v>
      </c>
      <c r="T9" s="138">
        <v>128</v>
      </c>
      <c r="U9" s="139">
        <v>0.22</v>
      </c>
      <c r="V9" s="140">
        <v>0.15</v>
      </c>
    </row>
    <row r="10" spans="2:22" ht="14.4" thickBot="1" x14ac:dyDescent="0.25">
      <c r="B10" s="249"/>
      <c r="C10" s="228">
        <v>15</v>
      </c>
      <c r="D10" s="231">
        <v>0.15</v>
      </c>
      <c r="E10" s="66">
        <f t="shared" si="3"/>
        <v>3.2333333333333334</v>
      </c>
      <c r="F10" s="101">
        <v>999</v>
      </c>
      <c r="G10" s="36">
        <f t="shared" si="2"/>
        <v>1.1428267761372419E-3</v>
      </c>
      <c r="H10" s="66">
        <v>0.5</v>
      </c>
      <c r="I10" s="199">
        <f t="shared" si="0"/>
        <v>28264.126002697882</v>
      </c>
      <c r="J10" s="66">
        <f t="shared" si="1"/>
        <v>0.30065137940576336</v>
      </c>
      <c r="L10" t="s">
        <v>81</v>
      </c>
      <c r="M10" t="s">
        <v>98</v>
      </c>
      <c r="N10"/>
      <c r="O10"/>
      <c r="P10">
        <v>1.4E-2</v>
      </c>
      <c r="Q10"/>
      <c r="S10" s="137">
        <v>15</v>
      </c>
      <c r="T10" s="138">
        <v>147</v>
      </c>
      <c r="U10" s="139">
        <v>0.28000000000000003</v>
      </c>
      <c r="V10" s="140">
        <v>0.15</v>
      </c>
    </row>
    <row r="11" spans="2:22" ht="14.4" thickBot="1" x14ac:dyDescent="0.25">
      <c r="B11" s="249"/>
      <c r="C11" s="228">
        <v>15</v>
      </c>
      <c r="D11" s="231">
        <v>0.15</v>
      </c>
      <c r="E11" s="66">
        <f t="shared" si="3"/>
        <v>3.7166666666666668</v>
      </c>
      <c r="F11" s="101">
        <v>999</v>
      </c>
      <c r="G11" s="36">
        <f t="shared" si="2"/>
        <v>1.1428267761372419E-3</v>
      </c>
      <c r="H11" s="66">
        <v>0.65</v>
      </c>
      <c r="I11" s="199">
        <f t="shared" si="0"/>
        <v>32489.175765987766</v>
      </c>
      <c r="J11" s="66">
        <f t="shared" si="1"/>
        <v>0.29580144201391351</v>
      </c>
      <c r="L11" t="s">
        <v>82</v>
      </c>
      <c r="M11" t="s">
        <v>88</v>
      </c>
      <c r="N11"/>
      <c r="O11"/>
      <c r="P11">
        <v>4</v>
      </c>
      <c r="Q11"/>
      <c r="S11" s="137">
        <v>15</v>
      </c>
      <c r="T11" s="138">
        <v>160</v>
      </c>
      <c r="U11" s="139">
        <v>0.34</v>
      </c>
      <c r="V11" s="140">
        <v>0.15</v>
      </c>
    </row>
    <row r="12" spans="2:22" ht="14.4" thickBot="1" x14ac:dyDescent="0.25">
      <c r="B12" s="249"/>
      <c r="C12" s="229">
        <v>15</v>
      </c>
      <c r="D12" s="232">
        <v>0.15</v>
      </c>
      <c r="E12" s="67">
        <f t="shared" si="3"/>
        <v>4.0333333333333332</v>
      </c>
      <c r="F12" s="102">
        <v>999</v>
      </c>
      <c r="G12" s="62">
        <f t="shared" si="2"/>
        <v>1.1428267761372419E-3</v>
      </c>
      <c r="H12" s="67">
        <v>0.73</v>
      </c>
      <c r="I12" s="199">
        <f t="shared" si="0"/>
        <v>35257.311817798385</v>
      </c>
      <c r="J12" s="67">
        <f t="shared" si="1"/>
        <v>0.28209071034014671</v>
      </c>
      <c r="L12" t="s">
        <v>83</v>
      </c>
      <c r="M12"/>
      <c r="N12"/>
      <c r="O12"/>
      <c r="P12">
        <v>45</v>
      </c>
      <c r="Q12"/>
      <c r="S12" s="137">
        <v>15</v>
      </c>
      <c r="T12" s="138">
        <v>185</v>
      </c>
      <c r="U12" s="139">
        <v>0.45</v>
      </c>
      <c r="V12" s="140">
        <v>0.15</v>
      </c>
    </row>
    <row r="13" spans="2:22" ht="14.4" thickBot="1" x14ac:dyDescent="0.25">
      <c r="B13" s="249"/>
      <c r="C13" s="229">
        <v>15</v>
      </c>
      <c r="D13" s="232">
        <v>0.15</v>
      </c>
      <c r="E13" s="67">
        <f t="shared" si="3"/>
        <v>4.333333333333333</v>
      </c>
      <c r="F13" s="102">
        <v>999</v>
      </c>
      <c r="G13" s="62">
        <f t="shared" si="2"/>
        <v>1.1428267761372419E-3</v>
      </c>
      <c r="H13" s="67">
        <v>0.85</v>
      </c>
      <c r="I13" s="199">
        <f t="shared" si="0"/>
        <v>37879.756498461073</v>
      </c>
      <c r="J13" s="67">
        <f t="shared" si="1"/>
        <v>0.28455674609520754</v>
      </c>
      <c r="L13" s="82"/>
      <c r="S13" s="137">
        <v>15</v>
      </c>
      <c r="T13" s="138">
        <v>194</v>
      </c>
      <c r="U13" s="139">
        <v>0.5</v>
      </c>
      <c r="V13" s="140">
        <v>0.15</v>
      </c>
    </row>
    <row r="14" spans="2:22" ht="14.4" thickBot="1" x14ac:dyDescent="0.25">
      <c r="B14" s="250"/>
      <c r="C14" s="230">
        <v>15</v>
      </c>
      <c r="D14" s="233">
        <v>0.15</v>
      </c>
      <c r="E14" s="198">
        <f>M21/60</f>
        <v>4.45</v>
      </c>
      <c r="F14" s="103">
        <v>999</v>
      </c>
      <c r="G14" s="37">
        <f t="shared" si="2"/>
        <v>1.1428267761372419E-3</v>
      </c>
      <c r="H14" s="198">
        <v>0.92</v>
      </c>
      <c r="I14" s="199">
        <f t="shared" si="0"/>
        <v>38899.596096496571</v>
      </c>
      <c r="J14" s="198">
        <f t="shared" si="1"/>
        <v>0.29205319446450601</v>
      </c>
      <c r="L14" s="82"/>
      <c r="S14" s="137">
        <v>15</v>
      </c>
      <c r="T14" s="138">
        <v>223</v>
      </c>
      <c r="U14" s="139">
        <v>0.65</v>
      </c>
      <c r="V14" s="140">
        <v>0.15</v>
      </c>
    </row>
    <row r="15" spans="2:22" x14ac:dyDescent="0.2">
      <c r="B15" s="251" t="s">
        <v>10</v>
      </c>
      <c r="C15" s="235">
        <v>15.4</v>
      </c>
      <c r="D15" s="234">
        <v>0.15</v>
      </c>
      <c r="E15" s="70">
        <f t="shared" si="3"/>
        <v>1.2333333333333334</v>
      </c>
      <c r="F15" s="104">
        <v>999</v>
      </c>
      <c r="G15" s="38">
        <f t="shared" si="2"/>
        <v>1.1307789394142673E-3</v>
      </c>
      <c r="H15" s="70">
        <v>0.22</v>
      </c>
      <c r="I15" s="242">
        <f t="shared" si="0"/>
        <v>10896.028897020458</v>
      </c>
      <c r="J15" s="70">
        <f>2*3.14*H15/100/(F15*E15^2*$P$9^5)</f>
        <v>0.90919261116485317</v>
      </c>
      <c r="L15" s="82"/>
      <c r="M15" s="138">
        <v>160</v>
      </c>
      <c r="S15" s="137">
        <v>15</v>
      </c>
      <c r="T15" s="138">
        <v>242</v>
      </c>
      <c r="U15" s="139">
        <v>0.73</v>
      </c>
      <c r="V15" s="140">
        <v>0.15</v>
      </c>
    </row>
    <row r="16" spans="2:22" x14ac:dyDescent="0.2">
      <c r="B16" s="252"/>
      <c r="C16" s="236">
        <v>15.4</v>
      </c>
      <c r="D16" s="68">
        <v>0.15</v>
      </c>
      <c r="E16" s="71">
        <f t="shared" si="3"/>
        <v>1.4833333333333334</v>
      </c>
      <c r="F16" s="105">
        <v>999</v>
      </c>
      <c r="G16" s="39">
        <f t="shared" si="2"/>
        <v>1.1307789394142673E-3</v>
      </c>
      <c r="H16" s="71">
        <v>0.32</v>
      </c>
      <c r="I16" s="243">
        <f t="shared" si="0"/>
        <v>13104.683403173254</v>
      </c>
      <c r="J16" s="71">
        <f t="shared" si="1"/>
        <v>0.91425347832367099</v>
      </c>
      <c r="L16" s="81"/>
      <c r="M16" s="138">
        <v>185</v>
      </c>
      <c r="S16" s="137">
        <v>15</v>
      </c>
      <c r="T16" s="138">
        <v>260</v>
      </c>
      <c r="U16" s="139">
        <v>0.85</v>
      </c>
      <c r="V16" s="140">
        <v>0.15</v>
      </c>
    </row>
    <row r="17" spans="2:22" ht="14.4" thickBot="1" x14ac:dyDescent="0.25">
      <c r="B17" s="252"/>
      <c r="C17" s="236">
        <v>15.4</v>
      </c>
      <c r="D17" s="68">
        <v>0.15</v>
      </c>
      <c r="E17" s="71">
        <f t="shared" si="3"/>
        <v>1.7833333333333334</v>
      </c>
      <c r="F17" s="105">
        <v>999</v>
      </c>
      <c r="G17" s="39">
        <f t="shared" si="2"/>
        <v>1.1307789394142673E-3</v>
      </c>
      <c r="H17" s="71">
        <v>0.5</v>
      </c>
      <c r="I17" s="243">
        <f t="shared" si="0"/>
        <v>15755.068810556608</v>
      </c>
      <c r="J17" s="71">
        <f t="shared" si="1"/>
        <v>0.98832346190193987</v>
      </c>
      <c r="L17" s="82"/>
      <c r="M17" s="138">
        <v>194</v>
      </c>
      <c r="S17" s="141">
        <v>15</v>
      </c>
      <c r="T17" s="142">
        <v>267</v>
      </c>
      <c r="U17" s="143">
        <v>0.92</v>
      </c>
      <c r="V17" s="144">
        <v>0.15</v>
      </c>
    </row>
    <row r="18" spans="2:22" x14ac:dyDescent="0.2">
      <c r="B18" s="252"/>
      <c r="C18" s="236">
        <v>15.4</v>
      </c>
      <c r="D18" s="68">
        <v>0.15</v>
      </c>
      <c r="E18" s="71">
        <f t="shared" si="3"/>
        <v>2</v>
      </c>
      <c r="F18" s="105">
        <v>999</v>
      </c>
      <c r="G18" s="39">
        <f t="shared" si="2"/>
        <v>1.1307789394142673E-3</v>
      </c>
      <c r="H18" s="71">
        <v>0.57999999999999996</v>
      </c>
      <c r="I18" s="243">
        <f t="shared" si="0"/>
        <v>17669.236049222363</v>
      </c>
      <c r="J18" s="71">
        <f t="shared" si="1"/>
        <v>0.91151151151151089</v>
      </c>
      <c r="L18" s="82"/>
      <c r="M18" s="138">
        <v>223</v>
      </c>
      <c r="S18" s="165">
        <v>15.4</v>
      </c>
      <c r="T18" s="173">
        <v>74</v>
      </c>
      <c r="U18" s="166">
        <v>0.22</v>
      </c>
      <c r="V18" s="167">
        <v>0.15</v>
      </c>
    </row>
    <row r="19" spans="2:22" x14ac:dyDescent="0.2">
      <c r="B19" s="252"/>
      <c r="C19" s="236">
        <v>15.4</v>
      </c>
      <c r="D19" s="68">
        <v>0.15</v>
      </c>
      <c r="E19" s="71">
        <f t="shared" si="3"/>
        <v>2.2333333333333334</v>
      </c>
      <c r="F19" s="105">
        <v>999</v>
      </c>
      <c r="G19" s="39">
        <f t="shared" si="2"/>
        <v>1.1307789394142673E-3</v>
      </c>
      <c r="H19" s="71">
        <v>0.82</v>
      </c>
      <c r="I19" s="243">
        <f t="shared" si="0"/>
        <v>19730.64692163164</v>
      </c>
      <c r="J19" s="236">
        <f t="shared" si="1"/>
        <v>1.0334772286209124</v>
      </c>
      <c r="L19" s="82"/>
      <c r="M19" s="138">
        <v>242</v>
      </c>
      <c r="S19" s="160">
        <v>15.4</v>
      </c>
      <c r="T19" s="174">
        <v>89</v>
      </c>
      <c r="U19" s="161">
        <v>0.32</v>
      </c>
      <c r="V19" s="168">
        <v>0.15</v>
      </c>
    </row>
    <row r="20" spans="2:22" x14ac:dyDescent="0.2">
      <c r="B20" s="252"/>
      <c r="C20" s="236">
        <v>15.4</v>
      </c>
      <c r="D20" s="68">
        <v>0.15</v>
      </c>
      <c r="E20" s="71">
        <f t="shared" si="3"/>
        <v>2.5499999999999998</v>
      </c>
      <c r="F20" s="105">
        <v>999</v>
      </c>
      <c r="G20" s="39">
        <f t="shared" si="2"/>
        <v>1.1307789394142673E-3</v>
      </c>
      <c r="H20" s="71">
        <v>1</v>
      </c>
      <c r="I20" s="39">
        <f t="shared" si="0"/>
        <v>22528.275962758511</v>
      </c>
      <c r="J20" s="71">
        <f t="shared" si="1"/>
        <v>0.96674914052845584</v>
      </c>
      <c r="L20" s="82"/>
      <c r="M20" s="138">
        <v>260</v>
      </c>
      <c r="S20" s="160">
        <v>15.4</v>
      </c>
      <c r="T20" s="174">
        <v>107</v>
      </c>
      <c r="U20" s="161">
        <v>0.5</v>
      </c>
      <c r="V20" s="168">
        <v>0.15</v>
      </c>
    </row>
    <row r="21" spans="2:22" ht="14.4" thickBot="1" x14ac:dyDescent="0.25">
      <c r="B21" s="252"/>
      <c r="C21" s="236">
        <v>15.4</v>
      </c>
      <c r="D21" s="68">
        <v>0.15</v>
      </c>
      <c r="E21" s="71">
        <f t="shared" si="3"/>
        <v>2.85</v>
      </c>
      <c r="F21" s="105">
        <v>999</v>
      </c>
      <c r="G21" s="39">
        <f t="shared" si="2"/>
        <v>1.1307789394142673E-3</v>
      </c>
      <c r="H21" s="71">
        <v>1.38</v>
      </c>
      <c r="I21" s="39">
        <f t="shared" si="0"/>
        <v>25178.661370141872</v>
      </c>
      <c r="J21" s="236">
        <f t="shared" si="1"/>
        <v>1.0680301723699683</v>
      </c>
      <c r="L21" s="82"/>
      <c r="M21" s="142">
        <v>267</v>
      </c>
      <c r="S21" s="160">
        <v>15.4</v>
      </c>
      <c r="T21" s="174">
        <v>120</v>
      </c>
      <c r="U21" s="161">
        <v>0.57999999999999996</v>
      </c>
      <c r="V21" s="168">
        <v>0.15</v>
      </c>
    </row>
    <row r="22" spans="2:22" x14ac:dyDescent="0.2">
      <c r="B22" s="252"/>
      <c r="C22" s="236">
        <v>15.4</v>
      </c>
      <c r="D22" s="68">
        <v>0.15</v>
      </c>
      <c r="E22" s="71">
        <f t="shared" si="3"/>
        <v>3.0666666666666669</v>
      </c>
      <c r="F22" s="105">
        <v>999</v>
      </c>
      <c r="G22" s="39">
        <f t="shared" si="2"/>
        <v>1.1307789394142673E-3</v>
      </c>
      <c r="H22" s="71">
        <v>1.62</v>
      </c>
      <c r="I22" s="39">
        <f t="shared" si="0"/>
        <v>27092.828608807627</v>
      </c>
      <c r="J22" s="236">
        <f t="shared" si="1"/>
        <v>1.0828692586726607</v>
      </c>
      <c r="L22" s="82"/>
      <c r="M22" s="173">
        <v>74</v>
      </c>
      <c r="S22" s="160">
        <v>15.4</v>
      </c>
      <c r="T22" s="174">
        <v>134</v>
      </c>
      <c r="U22" s="161">
        <v>0.82</v>
      </c>
      <c r="V22" s="168">
        <v>0.15</v>
      </c>
    </row>
    <row r="23" spans="2:22" x14ac:dyDescent="0.2">
      <c r="B23" s="252"/>
      <c r="C23" s="236">
        <v>15.4</v>
      </c>
      <c r="D23" s="68">
        <v>0.15</v>
      </c>
      <c r="E23" s="71">
        <f t="shared" si="3"/>
        <v>3.3166666666666669</v>
      </c>
      <c r="F23" s="105">
        <v>999</v>
      </c>
      <c r="G23" s="39">
        <f t="shared" si="2"/>
        <v>1.1307789394142673E-3</v>
      </c>
      <c r="H23" s="71">
        <v>1.66</v>
      </c>
      <c r="I23" s="39">
        <f t="shared" si="0"/>
        <v>29301.483114960425</v>
      </c>
      <c r="J23" s="71">
        <f t="shared" si="1"/>
        <v>0.94863379325892838</v>
      </c>
      <c r="L23" s="82"/>
      <c r="M23" s="174">
        <v>89</v>
      </c>
      <c r="S23" s="160">
        <v>15.4</v>
      </c>
      <c r="T23" s="174">
        <v>153</v>
      </c>
      <c r="U23" s="161">
        <v>1</v>
      </c>
      <c r="V23" s="168">
        <v>0.15</v>
      </c>
    </row>
    <row r="24" spans="2:22" ht="14.4" thickBot="1" x14ac:dyDescent="0.25">
      <c r="B24" s="253"/>
      <c r="C24" s="237">
        <v>15.4</v>
      </c>
      <c r="D24" s="69">
        <v>0.15</v>
      </c>
      <c r="E24" s="187">
        <f t="shared" si="3"/>
        <v>3.5</v>
      </c>
      <c r="F24" s="106">
        <v>999</v>
      </c>
      <c r="G24" s="40">
        <f t="shared" si="2"/>
        <v>1.1307789394142673E-3</v>
      </c>
      <c r="H24" s="187">
        <v>2</v>
      </c>
      <c r="I24" s="40">
        <f t="shared" si="0"/>
        <v>30921.163086139135</v>
      </c>
      <c r="J24" s="237">
        <f t="shared" si="1"/>
        <v>1.026332454903883</v>
      </c>
      <c r="L24" s="82"/>
      <c r="M24" s="174">
        <v>107</v>
      </c>
      <c r="S24" s="160">
        <v>15.4</v>
      </c>
      <c r="T24" s="174">
        <v>171</v>
      </c>
      <c r="U24" s="161">
        <v>1.38</v>
      </c>
      <c r="V24" s="168">
        <v>0.15</v>
      </c>
    </row>
    <row r="25" spans="2:22" ht="14.25" customHeight="1" thickBot="1" x14ac:dyDescent="0.25">
      <c r="B25" s="254" t="s">
        <v>11</v>
      </c>
      <c r="C25" s="197">
        <v>17.3</v>
      </c>
      <c r="D25" s="197">
        <v>0.13600000000000001</v>
      </c>
      <c r="E25" s="197">
        <f t="shared" si="3"/>
        <v>0.75</v>
      </c>
      <c r="F25" s="74">
        <v>999</v>
      </c>
      <c r="G25" s="80">
        <f>EXP(2.1629-(0.08695*C25))</f>
        <v>1.9322111099862627</v>
      </c>
      <c r="H25" s="197">
        <v>0.82</v>
      </c>
      <c r="I25" s="247">
        <f t="shared" si="0"/>
        <v>3.8776818750686464</v>
      </c>
      <c r="J25" s="79">
        <f t="shared" si="1"/>
        <v>9.1640084528973347</v>
      </c>
      <c r="L25" s="82"/>
      <c r="M25" s="174">
        <v>120</v>
      </c>
      <c r="S25" s="160">
        <v>15.4</v>
      </c>
      <c r="T25" s="174">
        <v>184</v>
      </c>
      <c r="U25" s="161">
        <v>1.62</v>
      </c>
      <c r="V25" s="168">
        <v>0.15</v>
      </c>
    </row>
    <row r="26" spans="2:22" ht="14.25" customHeight="1" thickBot="1" x14ac:dyDescent="0.25">
      <c r="B26" s="255"/>
      <c r="C26" s="77">
        <v>17.3</v>
      </c>
      <c r="D26" s="77">
        <v>0.13600000000000001</v>
      </c>
      <c r="E26" s="77">
        <f t="shared" si="3"/>
        <v>1.0166666666666666</v>
      </c>
      <c r="F26" s="75">
        <v>999</v>
      </c>
      <c r="G26" s="80">
        <f t="shared" ref="G26:G34" si="4">EXP(2.1629-(0.08695*C26))</f>
        <v>1.9322111099862627</v>
      </c>
      <c r="H26" s="77">
        <v>1.18</v>
      </c>
      <c r="I26" s="246">
        <f t="shared" si="0"/>
        <v>5.2564132084263866</v>
      </c>
      <c r="J26" s="77">
        <f t="shared" si="1"/>
        <v>7.1766041774104101</v>
      </c>
      <c r="L26" s="82"/>
      <c r="M26" s="174">
        <v>134</v>
      </c>
      <c r="S26" s="160">
        <v>15.4</v>
      </c>
      <c r="T26" s="174">
        <v>199</v>
      </c>
      <c r="U26" s="161">
        <v>1.66</v>
      </c>
      <c r="V26" s="168">
        <v>0.15</v>
      </c>
    </row>
    <row r="27" spans="2:22" ht="14.25" customHeight="1" thickBot="1" x14ac:dyDescent="0.25">
      <c r="B27" s="255"/>
      <c r="C27" s="77">
        <v>17.3</v>
      </c>
      <c r="D27" s="77">
        <v>0.13600000000000001</v>
      </c>
      <c r="E27" s="77">
        <f t="shared" si="3"/>
        <v>1.4666666666666666</v>
      </c>
      <c r="F27" s="75">
        <v>999</v>
      </c>
      <c r="G27" s="80">
        <f t="shared" si="4"/>
        <v>1.9322111099862627</v>
      </c>
      <c r="H27" s="77">
        <v>1.65</v>
      </c>
      <c r="I27" s="246">
        <f t="shared" si="0"/>
        <v>7.5830223334675741</v>
      </c>
      <c r="J27" s="77">
        <f t="shared" si="1"/>
        <v>4.8218673218673205</v>
      </c>
      <c r="L27" s="81"/>
      <c r="M27" s="174">
        <v>153</v>
      </c>
      <c r="S27" s="169">
        <v>15.4</v>
      </c>
      <c r="T27" s="175">
        <v>210</v>
      </c>
      <c r="U27" s="170">
        <v>2</v>
      </c>
      <c r="V27" s="171">
        <v>0.15</v>
      </c>
    </row>
    <row r="28" spans="2:22" ht="14.25" customHeight="1" thickBot="1" x14ac:dyDescent="0.25">
      <c r="B28" s="255"/>
      <c r="C28" s="77">
        <v>17.3</v>
      </c>
      <c r="D28" s="77">
        <v>0.13600000000000001</v>
      </c>
      <c r="E28" s="77">
        <f t="shared" si="3"/>
        <v>1.8166666666666667</v>
      </c>
      <c r="F28" s="75">
        <v>999</v>
      </c>
      <c r="G28" s="80">
        <f t="shared" si="4"/>
        <v>1.9322111099862627</v>
      </c>
      <c r="H28" s="77">
        <v>2.23</v>
      </c>
      <c r="I28" s="246">
        <f t="shared" si="0"/>
        <v>9.3926072084996104</v>
      </c>
      <c r="J28" s="77">
        <f t="shared" si="1"/>
        <v>4.2476480352080026</v>
      </c>
      <c r="L28" s="82"/>
      <c r="M28" s="174">
        <v>171</v>
      </c>
      <c r="S28" s="145">
        <v>17.3</v>
      </c>
      <c r="T28" s="146">
        <v>45</v>
      </c>
      <c r="U28" s="147">
        <v>0.82</v>
      </c>
      <c r="V28" s="148">
        <v>0.13600000000000001</v>
      </c>
    </row>
    <row r="29" spans="2:22" ht="14.25" customHeight="1" thickBot="1" x14ac:dyDescent="0.25">
      <c r="B29" s="255"/>
      <c r="C29" s="77">
        <v>17.3</v>
      </c>
      <c r="D29" s="77">
        <v>0.13600000000000001</v>
      </c>
      <c r="E29" s="77">
        <f t="shared" si="3"/>
        <v>2.0333333333333332</v>
      </c>
      <c r="F29" s="75">
        <v>999</v>
      </c>
      <c r="G29" s="80">
        <f t="shared" si="4"/>
        <v>1.9322111099862627</v>
      </c>
      <c r="H29" s="77">
        <v>2.5099999999999998</v>
      </c>
      <c r="I29" s="244">
        <f t="shared" si="0"/>
        <v>10.512826416852773</v>
      </c>
      <c r="J29" s="77">
        <f t="shared" si="1"/>
        <v>3.8163721367161285</v>
      </c>
      <c r="L29" s="82"/>
      <c r="M29" s="174">
        <v>184</v>
      </c>
      <c r="S29" s="149">
        <v>17.3</v>
      </c>
      <c r="T29" s="150">
        <v>61</v>
      </c>
      <c r="U29" s="151">
        <v>1.18</v>
      </c>
      <c r="V29" s="152">
        <v>0.13600000000000001</v>
      </c>
    </row>
    <row r="30" spans="2:22" ht="14.25" customHeight="1" thickBot="1" x14ac:dyDescent="0.25">
      <c r="B30" s="255"/>
      <c r="C30" s="77">
        <v>17.3</v>
      </c>
      <c r="D30" s="77">
        <v>0.13600000000000001</v>
      </c>
      <c r="E30" s="77">
        <f t="shared" si="3"/>
        <v>2.3166666666666669</v>
      </c>
      <c r="F30" s="75">
        <v>999</v>
      </c>
      <c r="G30" s="80">
        <f t="shared" si="4"/>
        <v>1.9322111099862627</v>
      </c>
      <c r="H30" s="77">
        <v>2.93</v>
      </c>
      <c r="I30" s="244">
        <f t="shared" si="0"/>
        <v>11.977728458545375</v>
      </c>
      <c r="J30" s="77">
        <f t="shared" si="1"/>
        <v>3.4319004061770979</v>
      </c>
      <c r="L30" s="82"/>
      <c r="M30" s="174">
        <v>199</v>
      </c>
      <c r="S30" s="149">
        <v>17.3</v>
      </c>
      <c r="T30" s="150">
        <v>88</v>
      </c>
      <c r="U30" s="151">
        <v>1.65</v>
      </c>
      <c r="V30" s="152">
        <v>0.13600000000000001</v>
      </c>
    </row>
    <row r="31" spans="2:22" ht="14.25" customHeight="1" thickBot="1" x14ac:dyDescent="0.25">
      <c r="B31" s="255"/>
      <c r="C31" s="77">
        <v>17.3</v>
      </c>
      <c r="D31" s="77">
        <v>0.13600000000000001</v>
      </c>
      <c r="E31" s="77">
        <f t="shared" si="3"/>
        <v>2.65</v>
      </c>
      <c r="F31" s="75">
        <v>999</v>
      </c>
      <c r="G31" s="80">
        <f t="shared" si="4"/>
        <v>1.9322111099862627</v>
      </c>
      <c r="H31" s="77">
        <v>3.5</v>
      </c>
      <c r="I31" s="244">
        <f t="shared" si="0"/>
        <v>13.701142625242548</v>
      </c>
      <c r="J31" s="77">
        <f t="shared" si="1"/>
        <v>3.133072552794872</v>
      </c>
      <c r="L31" s="82"/>
      <c r="M31" s="175">
        <v>210</v>
      </c>
      <c r="S31" s="149">
        <v>17.3</v>
      </c>
      <c r="T31" s="150">
        <v>109</v>
      </c>
      <c r="U31" s="151">
        <v>2.23</v>
      </c>
      <c r="V31" s="152">
        <v>0.13600000000000001</v>
      </c>
    </row>
    <row r="32" spans="2:22" ht="14.25" customHeight="1" thickBot="1" x14ac:dyDescent="0.25">
      <c r="B32" s="255"/>
      <c r="C32" s="77">
        <v>17.3</v>
      </c>
      <c r="D32" s="77">
        <v>0.13600000000000001</v>
      </c>
      <c r="E32" s="77">
        <f t="shared" si="3"/>
        <v>3.2833333333333332</v>
      </c>
      <c r="F32" s="75">
        <v>999</v>
      </c>
      <c r="G32" s="80">
        <f t="shared" si="4"/>
        <v>1.9322111099862627</v>
      </c>
      <c r="H32" s="77">
        <v>4.5199999999999996</v>
      </c>
      <c r="I32" s="244">
        <f t="shared" si="0"/>
        <v>16.975629541967184</v>
      </c>
      <c r="J32" s="77">
        <f t="shared" si="1"/>
        <v>2.6357404326432121</v>
      </c>
      <c r="L32" s="82"/>
      <c r="M32" s="146">
        <v>45</v>
      </c>
      <c r="S32" s="149">
        <v>17.3</v>
      </c>
      <c r="T32" s="150">
        <v>122</v>
      </c>
      <c r="U32" s="151">
        <v>2.5099999999999998</v>
      </c>
      <c r="V32" s="152">
        <v>0.13600000000000001</v>
      </c>
    </row>
    <row r="33" spans="2:22" ht="14.25" customHeight="1" thickBot="1" x14ac:dyDescent="0.25">
      <c r="B33" s="255"/>
      <c r="C33" s="77">
        <v>17.3</v>
      </c>
      <c r="D33" s="77">
        <v>0.13600000000000001</v>
      </c>
      <c r="E33" s="77">
        <f t="shared" si="3"/>
        <v>3.95</v>
      </c>
      <c r="F33" s="75">
        <v>999</v>
      </c>
      <c r="G33" s="80">
        <f t="shared" si="4"/>
        <v>1.9322111099862627</v>
      </c>
      <c r="H33" s="77">
        <v>6.42</v>
      </c>
      <c r="I33" s="244">
        <f t="shared" si="0"/>
        <v>20.422457875361538</v>
      </c>
      <c r="J33" s="77">
        <f t="shared" si="1"/>
        <v>2.5866340623591046</v>
      </c>
      <c r="L33" s="82"/>
      <c r="M33" s="150">
        <v>61</v>
      </c>
      <c r="S33" s="149">
        <v>17.3</v>
      </c>
      <c r="T33" s="150">
        <v>139</v>
      </c>
      <c r="U33" s="151">
        <v>2.93</v>
      </c>
      <c r="V33" s="152">
        <v>0.13600000000000001</v>
      </c>
    </row>
    <row r="34" spans="2:22" ht="15" customHeight="1" thickBot="1" x14ac:dyDescent="0.25">
      <c r="B34" s="256"/>
      <c r="C34" s="78">
        <v>17.3</v>
      </c>
      <c r="D34" s="78">
        <v>0.13600000000000001</v>
      </c>
      <c r="E34" s="78">
        <f t="shared" si="3"/>
        <v>4.7833333333333332</v>
      </c>
      <c r="F34" s="76">
        <v>999</v>
      </c>
      <c r="G34" s="80">
        <f t="shared" si="4"/>
        <v>1.9322111099862627</v>
      </c>
      <c r="H34" s="78">
        <v>8.0299999999999994</v>
      </c>
      <c r="I34" s="245">
        <f t="shared" si="0"/>
        <v>24.730993292104476</v>
      </c>
      <c r="J34" s="78">
        <f t="shared" si="1"/>
        <v>2.2062179213534687</v>
      </c>
      <c r="L34" s="82"/>
      <c r="M34" s="150">
        <v>88</v>
      </c>
      <c r="S34" s="149">
        <v>17.3</v>
      </c>
      <c r="T34" s="150">
        <v>159</v>
      </c>
      <c r="U34" s="151">
        <v>3.5</v>
      </c>
      <c r="V34" s="152">
        <v>0.13600000000000001</v>
      </c>
    </row>
    <row r="35" spans="2:22" x14ac:dyDescent="0.2">
      <c r="M35" s="150">
        <v>109</v>
      </c>
      <c r="S35" s="149">
        <v>17.3</v>
      </c>
      <c r="T35" s="150">
        <v>197</v>
      </c>
      <c r="U35" s="151">
        <v>4.5199999999999996</v>
      </c>
      <c r="V35" s="152">
        <v>0.13600000000000001</v>
      </c>
    </row>
    <row r="36" spans="2:22" x14ac:dyDescent="0.2">
      <c r="B36" s="5" t="s">
        <v>12</v>
      </c>
      <c r="C36" s="6" t="s">
        <v>0</v>
      </c>
      <c r="D36" s="6" t="s">
        <v>1</v>
      </c>
      <c r="E36" s="6" t="s">
        <v>2</v>
      </c>
      <c r="F36" s="6" t="s">
        <v>3</v>
      </c>
      <c r="M36" s="150">
        <v>122</v>
      </c>
      <c r="S36" s="149">
        <v>17.3</v>
      </c>
      <c r="T36" s="150">
        <v>237</v>
      </c>
      <c r="U36" s="151">
        <v>6.42</v>
      </c>
      <c r="V36" s="152">
        <v>0.13600000000000001</v>
      </c>
    </row>
    <row r="37" spans="2:22" ht="14.4" thickBot="1" x14ac:dyDescent="0.25">
      <c r="C37" s="2">
        <v>1.2571870000000001E-2</v>
      </c>
      <c r="D37" s="2">
        <v>-5.8064359999999999E-3</v>
      </c>
      <c r="E37" s="2">
        <v>1.1309110000000001E-3</v>
      </c>
      <c r="F37" s="2">
        <v>-5.7239520000000001E-6</v>
      </c>
      <c r="M37" s="150">
        <v>139</v>
      </c>
      <c r="S37" s="153">
        <v>17.3</v>
      </c>
      <c r="T37" s="154">
        <v>287</v>
      </c>
      <c r="U37" s="155">
        <v>8.0299999999999994</v>
      </c>
      <c r="V37" s="156">
        <v>0.13600000000000001</v>
      </c>
    </row>
    <row r="38" spans="2:22" x14ac:dyDescent="0.2">
      <c r="M38" s="150">
        <v>159</v>
      </c>
    </row>
    <row r="39" spans="2:22" x14ac:dyDescent="0.2">
      <c r="M39" s="150">
        <v>197</v>
      </c>
    </row>
    <row r="40" spans="2:22" x14ac:dyDescent="0.2">
      <c r="B40" s="5" t="s">
        <v>47</v>
      </c>
      <c r="M40" s="150">
        <v>237</v>
      </c>
    </row>
    <row r="41" spans="2:22" ht="14.4" thickBot="1" x14ac:dyDescent="0.25">
      <c r="B41" s="90" t="s">
        <v>46</v>
      </c>
      <c r="G41" s="83"/>
      <c r="H41" s="7"/>
      <c r="M41" s="154">
        <v>287</v>
      </c>
    </row>
    <row r="42" spans="2:22" ht="14.4" thickBot="1" x14ac:dyDescent="0.25">
      <c r="B42" s="1">
        <v>0.1</v>
      </c>
      <c r="G42" s="83"/>
    </row>
    <row r="43" spans="2:22" ht="14.4" thickBot="1" x14ac:dyDescent="0.25">
      <c r="B43" s="93" t="s">
        <v>33</v>
      </c>
      <c r="C43" s="91" t="s">
        <v>34</v>
      </c>
      <c r="D43" s="91" t="s">
        <v>35</v>
      </c>
      <c r="E43" s="91" t="s">
        <v>36</v>
      </c>
      <c r="F43" s="93" t="s">
        <v>37</v>
      </c>
      <c r="G43" s="83"/>
      <c r="H43" s="7"/>
    </row>
    <row r="44" spans="2:22" x14ac:dyDescent="0.2">
      <c r="B44" s="94">
        <f t="shared" ref="B44:B60" si="5">B62/100</f>
        <v>0.01</v>
      </c>
      <c r="C44" s="92">
        <f>14+($O$54/$M$47)*((670*(($O$50/$M$47)-0.6)^2)+185)</f>
        <v>41.799236040239109</v>
      </c>
      <c r="D44" s="92">
        <f>10^(1.3-(4*((($O$54/$M$47)-0.5)^2))-1.14*($O$50/$M$47))</f>
        <v>1.5944242025650814</v>
      </c>
      <c r="E44" s="92">
        <f>1.1+4*($O$54/$M$47)-2.5*((($O$50/$M$47)-0.5)^2)-7*($O$54/$M$47)^4</f>
        <v>1.6844408483667255</v>
      </c>
      <c r="F44" s="94">
        <f>(C44/B44)+(D44*((10^3+(1.2*B44^0.66))/(10^3+3.2*B44^0.66))^E44)*(0.15/$M$47)^(0.35+$O$54/$M$47)*(SIN($O$53))^1.2</f>
        <v>4181.0912985327941</v>
      </c>
      <c r="G44" s="94">
        <f>$F$144-(($F$144-$G$144)*(1-2.9*($M$48/$M$47)^1.2*4)^2)</f>
        <v>1.5795719223004645</v>
      </c>
    </row>
    <row r="45" spans="2:22" x14ac:dyDescent="0.2">
      <c r="B45" s="94">
        <f t="shared" si="5"/>
        <v>0.02</v>
      </c>
      <c r="C45" s="92">
        <f t="shared" ref="C45:C108" si="6">14+($O$54/$M$47)*(670*($O$50/$M$47-0.6)^2+185)</f>
        <v>41.799236040239109</v>
      </c>
      <c r="D45" s="92">
        <f t="shared" ref="D45:D108" si="7">10^(1.3-4*($O$54/$M$47-0.5)^2-1.14*($O$50/$M$47))</f>
        <v>1.5944242025650814</v>
      </c>
      <c r="E45" s="92">
        <f t="shared" ref="E45:E108" si="8">1.1+4*($O$54/$M$47)-2.5*((($O$50/$M$47)-0.5)^2)-7*($O$54/$M$47)^4</f>
        <v>1.6844408483667255</v>
      </c>
      <c r="F45" s="94">
        <f t="shared" ref="F45:F108" si="9">(C45/B45)+(D45*((10^3+(1.2*B45^0.66))/(10^3+3.2*B45^0.66))^E45)*(0.15/$M$47)^(0.35+$O$54/$M$47)*(SIN($O$53))^1.2</f>
        <v>2091.1293873349355</v>
      </c>
      <c r="G45" s="94">
        <f t="shared" ref="G45:G108" si="10">$F$144-(($F$144-$G$144)*(1-2.9*($M$48/$M$47)^1.2*4)^2)</f>
        <v>1.5795719223004645</v>
      </c>
      <c r="K45" t="s">
        <v>72</v>
      </c>
      <c r="L45"/>
      <c r="M45"/>
      <c r="N45"/>
      <c r="O45"/>
      <c r="P45"/>
    </row>
    <row r="46" spans="2:22" x14ac:dyDescent="0.2">
      <c r="B46" s="94">
        <f t="shared" si="5"/>
        <v>0.03</v>
      </c>
      <c r="C46" s="92">
        <f t="shared" si="6"/>
        <v>41.799236040239109</v>
      </c>
      <c r="D46" s="92">
        <f t="shared" si="7"/>
        <v>1.5944242025650814</v>
      </c>
      <c r="E46" s="92">
        <f t="shared" si="8"/>
        <v>1.6844408483667255</v>
      </c>
      <c r="F46" s="94">
        <f t="shared" si="9"/>
        <v>1394.4753620934866</v>
      </c>
      <c r="G46" s="94">
        <f t="shared" si="10"/>
        <v>1.5795719223004645</v>
      </c>
      <c r="K46"/>
      <c r="L46"/>
      <c r="M46" t="s">
        <v>74</v>
      </c>
      <c r="N46"/>
      <c r="O46" t="s">
        <v>75</v>
      </c>
      <c r="P46"/>
    </row>
    <row r="47" spans="2:22" x14ac:dyDescent="0.2">
      <c r="B47" s="94">
        <f t="shared" si="5"/>
        <v>0.04</v>
      </c>
      <c r="C47" s="92">
        <f t="shared" si="6"/>
        <v>41.799236040239109</v>
      </c>
      <c r="D47" s="92">
        <f t="shared" si="7"/>
        <v>1.5944242025650814</v>
      </c>
      <c r="E47" s="92">
        <f t="shared" si="8"/>
        <v>1.6844408483667255</v>
      </c>
      <c r="F47" s="94">
        <f t="shared" si="9"/>
        <v>1046.1483138541953</v>
      </c>
      <c r="G47" s="94">
        <f t="shared" si="10"/>
        <v>1.5795719223004645</v>
      </c>
      <c r="K47" t="s">
        <v>73</v>
      </c>
      <c r="L47" t="s">
        <v>3</v>
      </c>
      <c r="M47">
        <v>0.19</v>
      </c>
      <c r="N47" t="s">
        <v>77</v>
      </c>
      <c r="O47"/>
      <c r="P47"/>
    </row>
    <row r="48" spans="2:22" x14ac:dyDescent="0.2">
      <c r="B48" s="94">
        <f t="shared" si="5"/>
        <v>0.05</v>
      </c>
      <c r="C48" s="92">
        <f t="shared" si="6"/>
        <v>41.799236040239109</v>
      </c>
      <c r="D48" s="92">
        <f t="shared" si="7"/>
        <v>1.5944242025650814</v>
      </c>
      <c r="E48" s="92">
        <f t="shared" si="8"/>
        <v>1.6844408483667255</v>
      </c>
      <c r="F48" s="94">
        <f t="shared" si="9"/>
        <v>837.15205912653164</v>
      </c>
      <c r="G48" s="94">
        <f t="shared" si="10"/>
        <v>1.5795719223004645</v>
      </c>
      <c r="K48" t="s">
        <v>78</v>
      </c>
      <c r="L48" t="s">
        <v>84</v>
      </c>
      <c r="M48">
        <v>1.4999999999999999E-2</v>
      </c>
      <c r="N48" t="s">
        <v>77</v>
      </c>
      <c r="O48"/>
      <c r="P48"/>
    </row>
    <row r="49" spans="2:16" x14ac:dyDescent="0.2">
      <c r="B49" s="94">
        <f t="shared" si="5"/>
        <v>0.06</v>
      </c>
      <c r="C49" s="92">
        <f t="shared" si="6"/>
        <v>41.799236040239109</v>
      </c>
      <c r="D49" s="92">
        <f t="shared" si="7"/>
        <v>1.5944242025650814</v>
      </c>
      <c r="E49" s="92">
        <f t="shared" si="8"/>
        <v>1.6844408483667255</v>
      </c>
      <c r="F49" s="94">
        <f t="shared" si="9"/>
        <v>697.82120274611043</v>
      </c>
      <c r="G49" s="94">
        <f t="shared" si="10"/>
        <v>1.5795719223004645</v>
      </c>
      <c r="K49" t="s">
        <v>79</v>
      </c>
      <c r="L49" t="s">
        <v>85</v>
      </c>
      <c r="M49">
        <v>4</v>
      </c>
      <c r="N49"/>
      <c r="O49"/>
      <c r="P49"/>
    </row>
    <row r="50" spans="2:16" x14ac:dyDescent="0.2">
      <c r="B50" s="94">
        <f t="shared" si="5"/>
        <v>7.0000000000000007E-2</v>
      </c>
      <c r="C50" s="92">
        <f t="shared" si="6"/>
        <v>41.799236040239109</v>
      </c>
      <c r="D50" s="92">
        <f t="shared" si="7"/>
        <v>1.5944242025650814</v>
      </c>
      <c r="E50" s="92">
        <f t="shared" si="8"/>
        <v>1.6844408483667255</v>
      </c>
      <c r="F50" s="94">
        <f t="shared" si="9"/>
        <v>598.29914645691986</v>
      </c>
      <c r="G50" s="94">
        <f t="shared" si="10"/>
        <v>1.5795719223004645</v>
      </c>
      <c r="K50" t="s">
        <v>80</v>
      </c>
      <c r="L50" t="s">
        <v>86</v>
      </c>
      <c r="M50"/>
      <c r="N50"/>
      <c r="O50">
        <v>0.1</v>
      </c>
      <c r="P50" t="s">
        <v>77</v>
      </c>
    </row>
    <row r="51" spans="2:16" x14ac:dyDescent="0.2">
      <c r="B51" s="94">
        <f t="shared" si="5"/>
        <v>0.08</v>
      </c>
      <c r="C51" s="92">
        <f t="shared" si="6"/>
        <v>41.799236040239109</v>
      </c>
      <c r="D51" s="92">
        <f t="shared" si="7"/>
        <v>1.5944242025650814</v>
      </c>
      <c r="E51" s="92">
        <f t="shared" si="8"/>
        <v>1.6844408483667255</v>
      </c>
      <c r="F51" s="94">
        <f t="shared" si="9"/>
        <v>523.6575909465729</v>
      </c>
      <c r="G51" s="94">
        <f t="shared" si="10"/>
        <v>1.5795719223004645</v>
      </c>
      <c r="K51" t="s">
        <v>81</v>
      </c>
      <c r="L51" t="s">
        <v>87</v>
      </c>
      <c r="M51"/>
      <c r="N51"/>
      <c r="O51">
        <v>1.4E-2</v>
      </c>
      <c r="P51" t="s">
        <v>77</v>
      </c>
    </row>
    <row r="52" spans="2:16" x14ac:dyDescent="0.2">
      <c r="B52" s="94">
        <f t="shared" si="5"/>
        <v>0.09</v>
      </c>
      <c r="C52" s="92">
        <f t="shared" si="6"/>
        <v>41.799236040239109</v>
      </c>
      <c r="D52" s="92">
        <f t="shared" si="7"/>
        <v>1.5944242025650814</v>
      </c>
      <c r="E52" s="92">
        <f t="shared" si="8"/>
        <v>1.6844408483667255</v>
      </c>
      <c r="F52" s="94">
        <f t="shared" si="9"/>
        <v>465.60303648395524</v>
      </c>
      <c r="G52" s="94">
        <f t="shared" si="10"/>
        <v>1.5795719223004645</v>
      </c>
      <c r="K52" t="s">
        <v>82</v>
      </c>
      <c r="L52" t="s">
        <v>88</v>
      </c>
      <c r="M52"/>
      <c r="N52"/>
      <c r="O52">
        <v>4</v>
      </c>
      <c r="P52"/>
    </row>
    <row r="53" spans="2:16" x14ac:dyDescent="0.2">
      <c r="B53" s="94">
        <f t="shared" si="5"/>
        <v>0.1</v>
      </c>
      <c r="C53" s="92">
        <f t="shared" si="6"/>
        <v>41.799236040239109</v>
      </c>
      <c r="D53" s="92">
        <f t="shared" si="7"/>
        <v>1.5944242025650814</v>
      </c>
      <c r="E53" s="92">
        <f t="shared" si="8"/>
        <v>1.6844408483667255</v>
      </c>
      <c r="F53" s="94">
        <f t="shared" si="9"/>
        <v>419.15938315638607</v>
      </c>
      <c r="G53" s="94">
        <f t="shared" si="10"/>
        <v>1.5795719223004645</v>
      </c>
      <c r="K53" t="s">
        <v>83</v>
      </c>
      <c r="L53"/>
      <c r="M53"/>
      <c r="N53"/>
      <c r="O53">
        <v>45</v>
      </c>
      <c r="P53"/>
    </row>
    <row r="54" spans="2:16" x14ac:dyDescent="0.2">
      <c r="B54" s="94">
        <f t="shared" si="5"/>
        <v>0.2</v>
      </c>
      <c r="C54" s="92">
        <f t="shared" si="6"/>
        <v>41.799236040239109</v>
      </c>
      <c r="D54" s="92">
        <f t="shared" si="7"/>
        <v>1.5944242025650814</v>
      </c>
      <c r="E54" s="92">
        <f t="shared" si="8"/>
        <v>1.6844408483667255</v>
      </c>
      <c r="F54" s="94">
        <f t="shared" si="9"/>
        <v>210.16270473294082</v>
      </c>
      <c r="G54" s="94">
        <f t="shared" si="10"/>
        <v>1.5795719223004645</v>
      </c>
      <c r="K54" s="238" t="s">
        <v>91</v>
      </c>
      <c r="L54" s="1" t="s">
        <v>92</v>
      </c>
      <c r="O54" s="1">
        <f>O52*O51/2</f>
        <v>2.8000000000000001E-2</v>
      </c>
    </row>
    <row r="55" spans="2:16" x14ac:dyDescent="0.2">
      <c r="B55" s="94">
        <f t="shared" si="5"/>
        <v>0.3</v>
      </c>
      <c r="C55" s="92">
        <f t="shared" si="6"/>
        <v>41.799236040239109</v>
      </c>
      <c r="D55" s="92">
        <f t="shared" si="7"/>
        <v>1.5944242025650814</v>
      </c>
      <c r="E55" s="92">
        <f t="shared" si="8"/>
        <v>1.6844408483667255</v>
      </c>
      <c r="F55" s="94">
        <f t="shared" si="9"/>
        <v>140.49689530399277</v>
      </c>
      <c r="G55" s="94">
        <f t="shared" si="10"/>
        <v>1.5795719223004645</v>
      </c>
    </row>
    <row r="56" spans="2:16" x14ac:dyDescent="0.2">
      <c r="B56" s="94">
        <f t="shared" si="5"/>
        <v>0.4</v>
      </c>
      <c r="C56" s="92">
        <f t="shared" si="6"/>
        <v>41.799236040239109</v>
      </c>
      <c r="D56" s="92">
        <f t="shared" si="7"/>
        <v>1.5944242025650814</v>
      </c>
      <c r="E56" s="92">
        <f t="shared" si="8"/>
        <v>1.6844408483667255</v>
      </c>
      <c r="F56" s="94">
        <f t="shared" si="9"/>
        <v>105.66382839935665</v>
      </c>
      <c r="G56" s="94">
        <f t="shared" si="10"/>
        <v>1.5795719223004645</v>
      </c>
      <c r="K56" s="238" t="s">
        <v>93</v>
      </c>
      <c r="L56" s="1" t="s">
        <v>94</v>
      </c>
      <c r="P56" s="1">
        <v>0.14699999999999999</v>
      </c>
    </row>
    <row r="57" spans="2:16" x14ac:dyDescent="0.2">
      <c r="B57" s="94">
        <f t="shared" si="5"/>
        <v>0.5</v>
      </c>
      <c r="C57" s="92">
        <f t="shared" si="6"/>
        <v>41.799236040239109</v>
      </c>
      <c r="D57" s="92">
        <f t="shared" si="7"/>
        <v>1.5944242025650814</v>
      </c>
      <c r="E57" s="92">
        <f t="shared" si="8"/>
        <v>1.6844408483667255</v>
      </c>
      <c r="F57" s="94">
        <f t="shared" si="9"/>
        <v>84.763870942760079</v>
      </c>
      <c r="G57" s="94">
        <f t="shared" si="10"/>
        <v>1.5795719223004645</v>
      </c>
    </row>
    <row r="58" spans="2:16" x14ac:dyDescent="0.2">
      <c r="B58" s="94">
        <f t="shared" si="5"/>
        <v>0.6</v>
      </c>
      <c r="C58" s="92">
        <f t="shared" si="6"/>
        <v>41.799236040239109</v>
      </c>
      <c r="D58" s="92">
        <f t="shared" si="7"/>
        <v>1.5944242025650814</v>
      </c>
      <c r="E58" s="92">
        <f t="shared" si="8"/>
        <v>1.6844408483667255</v>
      </c>
      <c r="F58" s="94">
        <f t="shared" si="9"/>
        <v>70.830475517692932</v>
      </c>
      <c r="G58" s="94">
        <f t="shared" si="10"/>
        <v>1.5795719223004645</v>
      </c>
    </row>
    <row r="59" spans="2:16" x14ac:dyDescent="0.2">
      <c r="B59" s="94">
        <f t="shared" si="5"/>
        <v>0.7</v>
      </c>
      <c r="C59" s="92">
        <f t="shared" si="6"/>
        <v>41.799236040239109</v>
      </c>
      <c r="D59" s="92">
        <f t="shared" si="7"/>
        <v>1.5944242025650814</v>
      </c>
      <c r="E59" s="92">
        <f t="shared" si="8"/>
        <v>1.6844408483667255</v>
      </c>
      <c r="F59" s="94">
        <f t="shared" si="9"/>
        <v>60.877977440736309</v>
      </c>
      <c r="G59" s="94">
        <f t="shared" si="10"/>
        <v>1.5795719223004645</v>
      </c>
    </row>
    <row r="60" spans="2:16" x14ac:dyDescent="0.2">
      <c r="B60" s="94">
        <f t="shared" si="5"/>
        <v>0.8</v>
      </c>
      <c r="C60" s="92">
        <f t="shared" si="6"/>
        <v>41.799236040239109</v>
      </c>
      <c r="D60" s="92">
        <f t="shared" si="7"/>
        <v>1.5944242025650814</v>
      </c>
      <c r="E60" s="92">
        <f t="shared" si="8"/>
        <v>1.6844408483667255</v>
      </c>
      <c r="F60" s="94">
        <f t="shared" si="9"/>
        <v>53.413543525001174</v>
      </c>
      <c r="G60" s="94">
        <f t="shared" si="10"/>
        <v>1.5795719223004645</v>
      </c>
    </row>
    <row r="61" spans="2:16" x14ac:dyDescent="0.2">
      <c r="B61" s="94">
        <f>B79/100</f>
        <v>0.9</v>
      </c>
      <c r="C61" s="92">
        <f t="shared" si="6"/>
        <v>41.799236040239109</v>
      </c>
      <c r="D61" s="92">
        <f t="shared" si="7"/>
        <v>1.5944242025650814</v>
      </c>
      <c r="E61" s="92">
        <f t="shared" si="8"/>
        <v>1.6844408483667255</v>
      </c>
      <c r="F61" s="94">
        <f t="shared" si="9"/>
        <v>47.607821481295808</v>
      </c>
      <c r="G61" s="94">
        <f t="shared" si="10"/>
        <v>1.5795719223004645</v>
      </c>
    </row>
    <row r="62" spans="2:16" x14ac:dyDescent="0.2">
      <c r="B62" s="94">
        <v>1</v>
      </c>
      <c r="C62" s="92">
        <f t="shared" si="6"/>
        <v>41.799236040239109</v>
      </c>
      <c r="D62" s="92">
        <f t="shared" si="7"/>
        <v>1.5944242025650814</v>
      </c>
      <c r="E62" s="92">
        <f t="shared" si="8"/>
        <v>1.6844408483667255</v>
      </c>
      <c r="F62" s="94">
        <f t="shared" si="9"/>
        <v>42.963199596632386</v>
      </c>
      <c r="G62" s="94">
        <f t="shared" si="10"/>
        <v>1.5795719223004645</v>
      </c>
    </row>
    <row r="63" spans="2:16" x14ac:dyDescent="0.2">
      <c r="B63" s="94">
        <v>2</v>
      </c>
      <c r="C63" s="92">
        <f t="shared" si="6"/>
        <v>41.799236040239109</v>
      </c>
      <c r="D63" s="92">
        <f t="shared" si="7"/>
        <v>1.5944242025650814</v>
      </c>
      <c r="E63" s="92">
        <f t="shared" si="8"/>
        <v>1.6844408483667255</v>
      </c>
      <c r="F63" s="94">
        <f t="shared" si="9"/>
        <v>22.061321972312282</v>
      </c>
      <c r="G63" s="94">
        <f t="shared" si="10"/>
        <v>1.5795719223004645</v>
      </c>
    </row>
    <row r="64" spans="2:16" x14ac:dyDescent="0.2">
      <c r="B64" s="94">
        <v>3</v>
      </c>
      <c r="C64" s="92">
        <f t="shared" si="6"/>
        <v>41.799236040239109</v>
      </c>
      <c r="D64" s="92">
        <f t="shared" si="7"/>
        <v>1.5944242025650814</v>
      </c>
      <c r="E64" s="92">
        <f t="shared" si="8"/>
        <v>1.6844408483667255</v>
      </c>
      <c r="F64" s="94">
        <f t="shared" si="9"/>
        <v>15.092901853069295</v>
      </c>
      <c r="G64" s="94">
        <f t="shared" si="10"/>
        <v>1.5795719223004645</v>
      </c>
    </row>
    <row r="65" spans="2:7" x14ac:dyDescent="0.2">
      <c r="B65" s="94">
        <v>4</v>
      </c>
      <c r="C65" s="92">
        <f t="shared" si="6"/>
        <v>41.799236040239109</v>
      </c>
      <c r="D65" s="92">
        <f t="shared" si="7"/>
        <v>1.5944242025650814</v>
      </c>
      <c r="E65" s="92">
        <f t="shared" si="8"/>
        <v>1.6844408483667255</v>
      </c>
      <c r="F65" s="94">
        <f t="shared" si="9"/>
        <v>11.607963174799243</v>
      </c>
      <c r="G65" s="94">
        <f t="shared" si="10"/>
        <v>1.5795719223004645</v>
      </c>
    </row>
    <row r="66" spans="2:7" x14ac:dyDescent="0.2">
      <c r="B66" s="94">
        <v>5</v>
      </c>
      <c r="C66" s="92">
        <f t="shared" si="6"/>
        <v>41.799236040239109</v>
      </c>
      <c r="D66" s="92">
        <f t="shared" si="7"/>
        <v>1.5944242025650814</v>
      </c>
      <c r="E66" s="92">
        <f t="shared" si="8"/>
        <v>1.6844408483667255</v>
      </c>
      <c r="F66" s="94">
        <f t="shared" si="9"/>
        <v>9.5164748777081059</v>
      </c>
      <c r="G66" s="94">
        <f t="shared" si="10"/>
        <v>1.5795719223004645</v>
      </c>
    </row>
    <row r="67" spans="2:7" x14ac:dyDescent="0.2">
      <c r="B67" s="94">
        <v>6</v>
      </c>
      <c r="C67" s="92">
        <f t="shared" si="6"/>
        <v>41.799236040239109</v>
      </c>
      <c r="D67" s="92">
        <f t="shared" si="7"/>
        <v>1.5944242025650814</v>
      </c>
      <c r="E67" s="92">
        <f t="shared" si="8"/>
        <v>1.6844408483667255</v>
      </c>
      <c r="F67" s="94">
        <f t="shared" si="9"/>
        <v>8.1217458299430518</v>
      </c>
      <c r="G67" s="94">
        <f t="shared" si="10"/>
        <v>1.5795719223004645</v>
      </c>
    </row>
    <row r="68" spans="2:7" x14ac:dyDescent="0.2">
      <c r="B68" s="94">
        <v>7</v>
      </c>
      <c r="C68" s="92">
        <f t="shared" si="6"/>
        <v>41.799236040239109</v>
      </c>
      <c r="D68" s="92">
        <f t="shared" si="7"/>
        <v>1.5944242025650814</v>
      </c>
      <c r="E68" s="92">
        <f t="shared" si="8"/>
        <v>1.6844408483667255</v>
      </c>
      <c r="F68" s="94">
        <f t="shared" si="9"/>
        <v>7.1251871608974771</v>
      </c>
      <c r="G68" s="94">
        <f t="shared" si="10"/>
        <v>1.5795719223004645</v>
      </c>
    </row>
    <row r="69" spans="2:7" x14ac:dyDescent="0.2">
      <c r="B69" s="94">
        <v>8</v>
      </c>
      <c r="C69" s="92">
        <f t="shared" si="6"/>
        <v>41.799236040239109</v>
      </c>
      <c r="D69" s="92">
        <f t="shared" si="7"/>
        <v>1.5944242025650814</v>
      </c>
      <c r="E69" s="92">
        <f t="shared" si="8"/>
        <v>1.6844408483667255</v>
      </c>
      <c r="F69" s="94">
        <f t="shared" si="9"/>
        <v>6.3775005222335981</v>
      </c>
      <c r="G69" s="94">
        <f t="shared" si="10"/>
        <v>1.5795719223004645</v>
      </c>
    </row>
    <row r="70" spans="2:7" x14ac:dyDescent="0.2">
      <c r="B70" s="94">
        <v>9</v>
      </c>
      <c r="C70" s="92">
        <f t="shared" si="6"/>
        <v>41.799236040239109</v>
      </c>
      <c r="D70" s="92">
        <f t="shared" si="7"/>
        <v>1.5944242025650814</v>
      </c>
      <c r="E70" s="92">
        <f t="shared" si="8"/>
        <v>1.6844408483667255</v>
      </c>
      <c r="F70" s="94">
        <f t="shared" si="9"/>
        <v>5.7957399822377091</v>
      </c>
      <c r="G70" s="94">
        <f t="shared" si="10"/>
        <v>1.5795719223004645</v>
      </c>
    </row>
    <row r="71" spans="2:7" x14ac:dyDescent="0.2">
      <c r="B71" s="94">
        <v>10</v>
      </c>
      <c r="C71" s="92">
        <f t="shared" si="6"/>
        <v>41.799236040239109</v>
      </c>
      <c r="D71" s="92">
        <f t="shared" si="7"/>
        <v>1.5944242025650814</v>
      </c>
      <c r="E71" s="92">
        <f t="shared" si="8"/>
        <v>1.6844408483667255</v>
      </c>
      <c r="F71" s="94">
        <f t="shared" si="9"/>
        <v>5.3301364058863729</v>
      </c>
      <c r="G71" s="94">
        <f t="shared" si="10"/>
        <v>1.5795719223004645</v>
      </c>
    </row>
    <row r="72" spans="2:7" x14ac:dyDescent="0.2">
      <c r="B72" s="94">
        <v>20</v>
      </c>
      <c r="C72" s="92">
        <f t="shared" si="6"/>
        <v>41.799236040239109</v>
      </c>
      <c r="D72" s="92">
        <f t="shared" si="7"/>
        <v>1.5944242025650814</v>
      </c>
      <c r="E72" s="92">
        <f t="shared" si="8"/>
        <v>1.6844408483667255</v>
      </c>
      <c r="F72" s="94">
        <f t="shared" si="9"/>
        <v>3.2302047693561837</v>
      </c>
      <c r="G72" s="94">
        <f t="shared" si="10"/>
        <v>1.5795719223004645</v>
      </c>
    </row>
    <row r="73" spans="2:7" x14ac:dyDescent="0.2">
      <c r="B73" s="94">
        <v>30</v>
      </c>
      <c r="C73" s="92">
        <f t="shared" si="6"/>
        <v>41.799236040239109</v>
      </c>
      <c r="D73" s="92">
        <f t="shared" si="7"/>
        <v>1.5944242025650814</v>
      </c>
      <c r="E73" s="92">
        <f t="shared" si="8"/>
        <v>1.6844408483667255</v>
      </c>
      <c r="F73" s="94">
        <f t="shared" si="9"/>
        <v>2.5253707017604818</v>
      </c>
      <c r="G73" s="94">
        <f t="shared" si="10"/>
        <v>1.5795719223004645</v>
      </c>
    </row>
    <row r="74" spans="2:7" x14ac:dyDescent="0.2">
      <c r="B74" s="94">
        <v>40</v>
      </c>
      <c r="C74" s="92">
        <f t="shared" si="6"/>
        <v>41.799236040239109</v>
      </c>
      <c r="D74" s="92">
        <f t="shared" si="7"/>
        <v>1.5944242025650814</v>
      </c>
      <c r="E74" s="92">
        <f t="shared" si="8"/>
        <v>1.6844408483667255</v>
      </c>
      <c r="F74" s="94">
        <f t="shared" si="9"/>
        <v>2.1698729508314201</v>
      </c>
      <c r="G74" s="94">
        <f t="shared" si="10"/>
        <v>1.5795719223004645</v>
      </c>
    </row>
    <row r="75" spans="2:7" x14ac:dyDescent="0.2">
      <c r="B75" s="94">
        <v>50</v>
      </c>
      <c r="C75" s="92">
        <f t="shared" si="6"/>
        <v>41.799236040239109</v>
      </c>
      <c r="D75" s="92">
        <f t="shared" si="7"/>
        <v>1.5944242025650814</v>
      </c>
      <c r="E75" s="92">
        <f t="shared" si="8"/>
        <v>1.6844408483667255</v>
      </c>
      <c r="F75" s="94">
        <f t="shared" si="9"/>
        <v>1.9543897948750135</v>
      </c>
      <c r="G75" s="94">
        <f t="shared" si="10"/>
        <v>1.5795719223004645</v>
      </c>
    </row>
    <row r="76" spans="2:7" x14ac:dyDescent="0.2">
      <c r="B76" s="94">
        <v>60</v>
      </c>
      <c r="C76" s="92">
        <f t="shared" si="6"/>
        <v>41.799236040239109</v>
      </c>
      <c r="D76" s="92">
        <f t="shared" si="7"/>
        <v>1.5944242025650814</v>
      </c>
      <c r="E76" s="92">
        <f t="shared" si="8"/>
        <v>1.6844408483667255</v>
      </c>
      <c r="F76" s="94">
        <f t="shared" si="9"/>
        <v>1.8090800886468217</v>
      </c>
      <c r="G76" s="94">
        <f t="shared" si="10"/>
        <v>1.5795719223004645</v>
      </c>
    </row>
    <row r="77" spans="2:7" x14ac:dyDescent="0.2">
      <c r="B77" s="94">
        <v>70</v>
      </c>
      <c r="C77" s="92">
        <f t="shared" si="6"/>
        <v>41.799236040239109</v>
      </c>
      <c r="D77" s="92">
        <f t="shared" si="7"/>
        <v>1.5944242025650814</v>
      </c>
      <c r="E77" s="92">
        <f t="shared" si="8"/>
        <v>1.6844408483667255</v>
      </c>
      <c r="F77" s="94">
        <f t="shared" si="9"/>
        <v>1.7039785495223845</v>
      </c>
      <c r="G77" s="94">
        <f t="shared" si="10"/>
        <v>1.5795719223004645</v>
      </c>
    </row>
    <row r="78" spans="2:7" x14ac:dyDescent="0.2">
      <c r="B78" s="94">
        <v>80</v>
      </c>
      <c r="C78" s="92">
        <f t="shared" si="6"/>
        <v>41.799236040239109</v>
      </c>
      <c r="D78" s="92">
        <f t="shared" si="7"/>
        <v>1.5944242025650814</v>
      </c>
      <c r="E78" s="92">
        <f t="shared" si="8"/>
        <v>1.6844408483667255</v>
      </c>
      <c r="F78" s="94">
        <f t="shared" si="9"/>
        <v>1.624083663682905</v>
      </c>
      <c r="G78" s="94">
        <f t="shared" si="10"/>
        <v>1.5795719223004645</v>
      </c>
    </row>
    <row r="79" spans="2:7" x14ac:dyDescent="0.2">
      <c r="B79" s="94">
        <v>90</v>
      </c>
      <c r="C79" s="92">
        <f t="shared" si="6"/>
        <v>41.799236040239109</v>
      </c>
      <c r="D79" s="92">
        <f t="shared" si="7"/>
        <v>1.5944242025650814</v>
      </c>
      <c r="E79" s="92">
        <f t="shared" si="8"/>
        <v>1.6844408483667255</v>
      </c>
      <c r="F79" s="94">
        <f t="shared" si="9"/>
        <v>1.5610495990906459</v>
      </c>
      <c r="G79" s="94">
        <f t="shared" si="10"/>
        <v>1.5795719223004645</v>
      </c>
    </row>
    <row r="80" spans="2:7" x14ac:dyDescent="0.2">
      <c r="B80" s="94">
        <v>100</v>
      </c>
      <c r="C80" s="92">
        <f t="shared" si="6"/>
        <v>41.799236040239109</v>
      </c>
      <c r="D80" s="92">
        <f t="shared" si="7"/>
        <v>1.5944242025650814</v>
      </c>
      <c r="E80" s="92">
        <f t="shared" si="8"/>
        <v>1.6844408483667255</v>
      </c>
      <c r="F80" s="94">
        <f t="shared" si="9"/>
        <v>1.5098611815259462</v>
      </c>
      <c r="G80" s="94">
        <f t="shared" si="10"/>
        <v>1.5795719223004645</v>
      </c>
    </row>
    <row r="81" spans="2:7" x14ac:dyDescent="0.2">
      <c r="B81" s="94">
        <v>200</v>
      </c>
      <c r="C81" s="92">
        <f t="shared" si="6"/>
        <v>41.799236040239109</v>
      </c>
      <c r="D81" s="92">
        <f t="shared" si="7"/>
        <v>1.5944242025650814</v>
      </c>
      <c r="E81" s="92">
        <f t="shared" si="8"/>
        <v>1.6844408483667255</v>
      </c>
      <c r="F81" s="94">
        <f t="shared" si="9"/>
        <v>1.2618186519341732</v>
      </c>
      <c r="G81" s="94">
        <f t="shared" si="10"/>
        <v>1.5795719223004645</v>
      </c>
    </row>
    <row r="82" spans="2:7" x14ac:dyDescent="0.2">
      <c r="B82" s="94">
        <v>300</v>
      </c>
      <c r="C82" s="92">
        <f t="shared" si="6"/>
        <v>41.799236040239109</v>
      </c>
      <c r="D82" s="92">
        <f t="shared" si="7"/>
        <v>1.5944242025650814</v>
      </c>
      <c r="E82" s="92">
        <f t="shared" si="8"/>
        <v>1.6844408483667255</v>
      </c>
      <c r="F82" s="94">
        <f t="shared" si="9"/>
        <v>1.1619655063820793</v>
      </c>
      <c r="G82" s="94">
        <f t="shared" si="10"/>
        <v>1.5795719223004645</v>
      </c>
    </row>
    <row r="83" spans="2:7" x14ac:dyDescent="0.2">
      <c r="B83" s="94">
        <v>400</v>
      </c>
      <c r="C83" s="92">
        <f t="shared" si="6"/>
        <v>41.799236040239109</v>
      </c>
      <c r="D83" s="92">
        <f t="shared" si="7"/>
        <v>1.5944242025650814</v>
      </c>
      <c r="E83" s="92">
        <f t="shared" si="8"/>
        <v>1.6844408483667255</v>
      </c>
      <c r="F83" s="94">
        <f t="shared" si="9"/>
        <v>1.1019392714291791</v>
      </c>
      <c r="G83" s="94">
        <f t="shared" si="10"/>
        <v>1.5795719223004645</v>
      </c>
    </row>
    <row r="84" spans="2:7" x14ac:dyDescent="0.2">
      <c r="B84" s="94">
        <v>500</v>
      </c>
      <c r="C84" s="92">
        <f t="shared" si="6"/>
        <v>41.799236040239109</v>
      </c>
      <c r="D84" s="92">
        <f t="shared" si="7"/>
        <v>1.5944242025650814</v>
      </c>
      <c r="E84" s="92">
        <f t="shared" si="8"/>
        <v>1.6844408483667255</v>
      </c>
      <c r="F84" s="94">
        <f t="shared" si="9"/>
        <v>1.0592057985344447</v>
      </c>
      <c r="G84" s="94">
        <f t="shared" si="10"/>
        <v>1.5795719223004645</v>
      </c>
    </row>
    <row r="85" spans="2:7" x14ac:dyDescent="0.2">
      <c r="B85" s="94">
        <v>600</v>
      </c>
      <c r="C85" s="92">
        <f t="shared" si="6"/>
        <v>41.799236040239109</v>
      </c>
      <c r="D85" s="92">
        <f t="shared" si="7"/>
        <v>1.5944242025650814</v>
      </c>
      <c r="E85" s="92">
        <f t="shared" si="8"/>
        <v>1.6844408483667255</v>
      </c>
      <c r="F85" s="94">
        <f t="shared" si="9"/>
        <v>1.0259091217032563</v>
      </c>
      <c r="G85" s="94">
        <f t="shared" si="10"/>
        <v>1.5795719223004645</v>
      </c>
    </row>
    <row r="86" spans="2:7" x14ac:dyDescent="0.2">
      <c r="B86" s="94">
        <v>700</v>
      </c>
      <c r="C86" s="92">
        <f t="shared" si="6"/>
        <v>41.799236040239109</v>
      </c>
      <c r="D86" s="92">
        <f t="shared" si="7"/>
        <v>1.5944242025650814</v>
      </c>
      <c r="E86" s="92">
        <f t="shared" si="8"/>
        <v>1.6844408483667255</v>
      </c>
      <c r="F86" s="94">
        <f t="shared" si="9"/>
        <v>0.99851120435533769</v>
      </c>
      <c r="G86" s="94">
        <f t="shared" si="10"/>
        <v>1.5795719223004645</v>
      </c>
    </row>
    <row r="87" spans="2:7" x14ac:dyDescent="0.2">
      <c r="B87" s="94">
        <v>800</v>
      </c>
      <c r="C87" s="92">
        <f t="shared" si="6"/>
        <v>41.799236040239109</v>
      </c>
      <c r="D87" s="92">
        <f t="shared" si="7"/>
        <v>1.5944242025650814</v>
      </c>
      <c r="E87" s="92">
        <f t="shared" si="8"/>
        <v>1.6844408483667255</v>
      </c>
      <c r="F87" s="94">
        <f t="shared" si="9"/>
        <v>0.97514646890840384</v>
      </c>
      <c r="G87" s="94">
        <f t="shared" si="10"/>
        <v>1.5795719223004645</v>
      </c>
    </row>
    <row r="88" spans="2:7" x14ac:dyDescent="0.2">
      <c r="B88" s="94">
        <v>900</v>
      </c>
      <c r="C88" s="92">
        <f t="shared" si="6"/>
        <v>41.799236040239109</v>
      </c>
      <c r="D88" s="92">
        <f t="shared" si="7"/>
        <v>1.5944242025650814</v>
      </c>
      <c r="E88" s="92">
        <f t="shared" si="8"/>
        <v>1.6844408483667255</v>
      </c>
      <c r="F88" s="94">
        <f t="shared" si="9"/>
        <v>0.95471918050737281</v>
      </c>
      <c r="G88" s="94">
        <f t="shared" si="10"/>
        <v>1.5795719223004645</v>
      </c>
    </row>
    <row r="89" spans="2:7" x14ac:dyDescent="0.2">
      <c r="B89" s="94">
        <v>1000</v>
      </c>
      <c r="C89" s="92">
        <f t="shared" si="6"/>
        <v>41.799236040239109</v>
      </c>
      <c r="D89" s="92">
        <f t="shared" si="7"/>
        <v>1.5944242025650814</v>
      </c>
      <c r="E89" s="92">
        <f t="shared" si="8"/>
        <v>1.6844408483667255</v>
      </c>
      <c r="F89" s="94">
        <f t="shared" si="9"/>
        <v>0.93653316085932925</v>
      </c>
      <c r="G89" s="94">
        <f t="shared" si="10"/>
        <v>1.5795719223004645</v>
      </c>
    </row>
    <row r="90" spans="2:7" x14ac:dyDescent="0.2">
      <c r="B90" s="94">
        <v>2000</v>
      </c>
      <c r="C90" s="92">
        <f t="shared" si="6"/>
        <v>41.799236040239109</v>
      </c>
      <c r="D90" s="92">
        <f t="shared" si="7"/>
        <v>1.5944242025650814</v>
      </c>
      <c r="E90" s="92">
        <f t="shared" si="8"/>
        <v>1.6844408483667255</v>
      </c>
      <c r="F90" s="94">
        <f t="shared" si="9"/>
        <v>0.81693850084014374</v>
      </c>
      <c r="G90" s="94">
        <f t="shared" si="10"/>
        <v>1.5795719223004645</v>
      </c>
    </row>
    <row r="91" spans="2:7" x14ac:dyDescent="0.2">
      <c r="B91" s="94">
        <v>3000</v>
      </c>
      <c r="C91" s="92">
        <f t="shared" si="6"/>
        <v>41.799236040239109</v>
      </c>
      <c r="D91" s="92">
        <f t="shared" si="7"/>
        <v>1.5944242025650814</v>
      </c>
      <c r="E91" s="92">
        <f t="shared" si="8"/>
        <v>1.6844408483667255</v>
      </c>
      <c r="F91" s="94">
        <f t="shared" si="9"/>
        <v>0.74658183989663618</v>
      </c>
      <c r="G91" s="94">
        <f t="shared" si="10"/>
        <v>1.5795719223004645</v>
      </c>
    </row>
    <row r="92" spans="2:7" x14ac:dyDescent="0.2">
      <c r="B92" s="94">
        <v>4000</v>
      </c>
      <c r="C92" s="92">
        <f t="shared" si="6"/>
        <v>41.799236040239109</v>
      </c>
      <c r="D92" s="92">
        <f t="shared" si="7"/>
        <v>1.5944242025650814</v>
      </c>
      <c r="E92" s="92">
        <f t="shared" si="8"/>
        <v>1.6844408483667255</v>
      </c>
      <c r="F92" s="94">
        <f t="shared" si="9"/>
        <v>0.69702508301869659</v>
      </c>
      <c r="G92" s="94">
        <f t="shared" si="10"/>
        <v>1.5795719223004645</v>
      </c>
    </row>
    <row r="93" spans="2:7" x14ac:dyDescent="0.2">
      <c r="B93" s="94">
        <v>5000</v>
      </c>
      <c r="C93" s="92">
        <f t="shared" si="6"/>
        <v>41.799236040239109</v>
      </c>
      <c r="D93" s="92">
        <f t="shared" si="7"/>
        <v>1.5944242025650814</v>
      </c>
      <c r="E93" s="92">
        <f t="shared" si="8"/>
        <v>1.6844408483667255</v>
      </c>
      <c r="F93" s="94">
        <f t="shared" si="9"/>
        <v>0.65920916909249228</v>
      </c>
      <c r="G93" s="94">
        <f t="shared" si="10"/>
        <v>1.5795719223004645</v>
      </c>
    </row>
    <row r="94" spans="2:7" x14ac:dyDescent="0.2">
      <c r="B94" s="94">
        <v>6000</v>
      </c>
      <c r="C94" s="92">
        <f t="shared" si="6"/>
        <v>41.799236040239109</v>
      </c>
      <c r="D94" s="92">
        <f t="shared" si="7"/>
        <v>1.5944242025650814</v>
      </c>
      <c r="E94" s="92">
        <f t="shared" si="8"/>
        <v>1.6844408483667255</v>
      </c>
      <c r="F94" s="94">
        <f t="shared" si="9"/>
        <v>0.62895289161039747</v>
      </c>
      <c r="G94" s="94">
        <f t="shared" si="10"/>
        <v>1.5795719223004645</v>
      </c>
    </row>
    <row r="95" spans="2:7" x14ac:dyDescent="0.2">
      <c r="B95" s="94">
        <v>7000</v>
      </c>
      <c r="C95" s="92">
        <f t="shared" si="6"/>
        <v>41.799236040239109</v>
      </c>
      <c r="D95" s="92">
        <f t="shared" si="7"/>
        <v>1.5944242025650814</v>
      </c>
      <c r="E95" s="92">
        <f t="shared" si="8"/>
        <v>1.6844408483667255</v>
      </c>
      <c r="F95" s="94">
        <f t="shared" si="9"/>
        <v>0.60395895491143414</v>
      </c>
      <c r="G95" s="94">
        <f t="shared" si="10"/>
        <v>1.5795719223004645</v>
      </c>
    </row>
    <row r="96" spans="2:7" x14ac:dyDescent="0.2">
      <c r="B96" s="94">
        <v>8000</v>
      </c>
      <c r="C96" s="92">
        <f t="shared" si="6"/>
        <v>41.799236040239109</v>
      </c>
      <c r="D96" s="92">
        <f t="shared" si="7"/>
        <v>1.5944242025650814</v>
      </c>
      <c r="E96" s="92">
        <f t="shared" si="8"/>
        <v>1.6844408483667255</v>
      </c>
      <c r="F96" s="94">
        <f t="shared" si="9"/>
        <v>0.58282575490889899</v>
      </c>
      <c r="G96" s="94">
        <f t="shared" si="10"/>
        <v>1.5795719223004645</v>
      </c>
    </row>
    <row r="97" spans="2:7" x14ac:dyDescent="0.2">
      <c r="B97" s="94">
        <v>9000</v>
      </c>
      <c r="C97" s="92">
        <f t="shared" si="6"/>
        <v>41.799236040239109</v>
      </c>
      <c r="D97" s="92">
        <f t="shared" si="7"/>
        <v>1.5944242025650814</v>
      </c>
      <c r="E97" s="92">
        <f t="shared" si="8"/>
        <v>1.6844408483667255</v>
      </c>
      <c r="F97" s="94">
        <f t="shared" si="9"/>
        <v>0.56463521234556091</v>
      </c>
      <c r="G97" s="94">
        <f t="shared" si="10"/>
        <v>1.5795719223004645</v>
      </c>
    </row>
    <row r="98" spans="2:7" x14ac:dyDescent="0.2">
      <c r="B98" s="94">
        <v>10000</v>
      </c>
      <c r="C98" s="92">
        <f t="shared" si="6"/>
        <v>41.799236040239109</v>
      </c>
      <c r="D98" s="92">
        <f t="shared" si="7"/>
        <v>1.5944242025650814</v>
      </c>
      <c r="E98" s="92">
        <f t="shared" si="8"/>
        <v>1.6844408483667255</v>
      </c>
      <c r="F98" s="94">
        <f t="shared" si="9"/>
        <v>0.54875398942773079</v>
      </c>
      <c r="G98" s="94">
        <f t="shared" si="10"/>
        <v>1.5795719223004645</v>
      </c>
    </row>
    <row r="99" spans="2:7" x14ac:dyDescent="0.2">
      <c r="B99" s="94">
        <v>20000</v>
      </c>
      <c r="C99" s="92">
        <f t="shared" si="6"/>
        <v>41.799236040239109</v>
      </c>
      <c r="D99" s="92">
        <f t="shared" si="7"/>
        <v>1.5944242025650814</v>
      </c>
      <c r="E99" s="92">
        <f t="shared" si="8"/>
        <v>1.6844408483667255</v>
      </c>
      <c r="F99" s="94">
        <f t="shared" si="9"/>
        <v>0.45501666964420329</v>
      </c>
      <c r="G99" s="94">
        <f t="shared" si="10"/>
        <v>1.5795719223004645</v>
      </c>
    </row>
    <row r="100" spans="2:7" x14ac:dyDescent="0.2">
      <c r="B100" s="94">
        <v>30000</v>
      </c>
      <c r="C100" s="92">
        <f t="shared" si="6"/>
        <v>41.799236040239109</v>
      </c>
      <c r="D100" s="92">
        <f t="shared" si="7"/>
        <v>1.5944242025650814</v>
      </c>
      <c r="E100" s="92">
        <f t="shared" si="8"/>
        <v>1.6844408483667255</v>
      </c>
      <c r="F100" s="94">
        <f t="shared" si="9"/>
        <v>0.40976811688232956</v>
      </c>
      <c r="G100" s="94">
        <f t="shared" si="10"/>
        <v>1.5795719223004645</v>
      </c>
    </row>
    <row r="101" spans="2:7" x14ac:dyDescent="0.2">
      <c r="B101" s="94">
        <v>40000</v>
      </c>
      <c r="C101" s="92">
        <f t="shared" si="6"/>
        <v>41.799236040239109</v>
      </c>
      <c r="D101" s="92">
        <f t="shared" si="7"/>
        <v>1.5944242025650814</v>
      </c>
      <c r="E101" s="92">
        <f t="shared" si="8"/>
        <v>1.6844408483667255</v>
      </c>
      <c r="F101" s="94">
        <f t="shared" si="9"/>
        <v>0.38204741517619517</v>
      </c>
      <c r="G101" s="94">
        <f t="shared" si="10"/>
        <v>1.5795719223004645</v>
      </c>
    </row>
    <row r="102" spans="2:7" x14ac:dyDescent="0.2">
      <c r="B102" s="94">
        <v>50000</v>
      </c>
      <c r="C102" s="92">
        <f t="shared" si="6"/>
        <v>41.799236040239109</v>
      </c>
      <c r="D102" s="92">
        <f t="shared" si="7"/>
        <v>1.5944242025650814</v>
      </c>
      <c r="E102" s="92">
        <f t="shared" si="8"/>
        <v>1.6844408483667255</v>
      </c>
      <c r="F102" s="94">
        <f t="shared" si="9"/>
        <v>0.36295332329284508</v>
      </c>
      <c r="G102" s="94">
        <f t="shared" si="10"/>
        <v>1.5795719223004645</v>
      </c>
    </row>
    <row r="103" spans="2:7" x14ac:dyDescent="0.2">
      <c r="B103" s="94">
        <v>60000</v>
      </c>
      <c r="C103" s="92">
        <f t="shared" si="6"/>
        <v>41.799236040239109</v>
      </c>
      <c r="D103" s="92">
        <f t="shared" si="7"/>
        <v>1.5944242025650814</v>
      </c>
      <c r="E103" s="92">
        <f t="shared" si="8"/>
        <v>1.6844408483667255</v>
      </c>
      <c r="F103" s="94">
        <f t="shared" si="9"/>
        <v>0.34883422772902484</v>
      </c>
      <c r="G103" s="94">
        <f t="shared" si="10"/>
        <v>1.5795719223004645</v>
      </c>
    </row>
    <row r="104" spans="2:7" x14ac:dyDescent="0.2">
      <c r="B104" s="94">
        <v>70000</v>
      </c>
      <c r="C104" s="92">
        <f t="shared" si="6"/>
        <v>41.799236040239109</v>
      </c>
      <c r="D104" s="92">
        <f t="shared" si="7"/>
        <v>1.5944242025650814</v>
      </c>
      <c r="E104" s="92">
        <f t="shared" si="8"/>
        <v>1.6844408483667255</v>
      </c>
      <c r="F104" s="94">
        <f t="shared" si="9"/>
        <v>0.33788192532907974</v>
      </c>
      <c r="G104" s="94">
        <f t="shared" si="10"/>
        <v>1.5795719223004645</v>
      </c>
    </row>
    <row r="105" spans="2:7" x14ac:dyDescent="0.2">
      <c r="B105" s="94">
        <v>80000</v>
      </c>
      <c r="C105" s="92">
        <f t="shared" si="6"/>
        <v>41.799236040239109</v>
      </c>
      <c r="D105" s="92">
        <f t="shared" si="7"/>
        <v>1.5944242025650814</v>
      </c>
      <c r="E105" s="92">
        <f t="shared" si="8"/>
        <v>1.6844408483667255</v>
      </c>
      <c r="F105" s="94">
        <f t="shared" si="9"/>
        <v>0.32908717725489667</v>
      </c>
      <c r="G105" s="94">
        <f t="shared" si="10"/>
        <v>1.5795719223004645</v>
      </c>
    </row>
    <row r="106" spans="2:7" x14ac:dyDescent="0.2">
      <c r="B106" s="94">
        <v>90000</v>
      </c>
      <c r="C106" s="92">
        <f t="shared" si="6"/>
        <v>41.799236040239109</v>
      </c>
      <c r="D106" s="92">
        <f t="shared" si="7"/>
        <v>1.5944242025650814</v>
      </c>
      <c r="E106" s="92">
        <f t="shared" si="8"/>
        <v>1.6844408483667255</v>
      </c>
      <c r="F106" s="94">
        <f t="shared" si="9"/>
        <v>0.32183750123434807</v>
      </c>
      <c r="G106" s="94">
        <f t="shared" si="10"/>
        <v>1.5795719223004645</v>
      </c>
    </row>
    <row r="107" spans="2:7" x14ac:dyDescent="0.2">
      <c r="B107" s="94">
        <v>100000</v>
      </c>
      <c r="C107" s="92">
        <f t="shared" si="6"/>
        <v>41.799236040239109</v>
      </c>
      <c r="D107" s="92">
        <f t="shared" si="7"/>
        <v>1.5944242025650814</v>
      </c>
      <c r="E107" s="92">
        <f t="shared" si="8"/>
        <v>1.6844408483667255</v>
      </c>
      <c r="F107" s="94">
        <f t="shared" si="9"/>
        <v>0.31573736720204526</v>
      </c>
      <c r="G107" s="94">
        <f t="shared" si="10"/>
        <v>1.5795719223004645</v>
      </c>
    </row>
    <row r="108" spans="2:7" x14ac:dyDescent="0.2">
      <c r="B108" s="94">
        <v>200000</v>
      </c>
      <c r="C108" s="92">
        <f t="shared" si="6"/>
        <v>41.799236040239109</v>
      </c>
      <c r="D108" s="92">
        <f t="shared" si="7"/>
        <v>1.5944242025650814</v>
      </c>
      <c r="E108" s="92">
        <f t="shared" si="8"/>
        <v>1.6844408483667255</v>
      </c>
      <c r="F108" s="94">
        <f t="shared" si="9"/>
        <v>0.28355426028609099</v>
      </c>
      <c r="G108" s="94">
        <f t="shared" si="10"/>
        <v>1.5795719223004645</v>
      </c>
    </row>
    <row r="109" spans="2:7" x14ac:dyDescent="0.2">
      <c r="B109" s="94">
        <v>300000</v>
      </c>
      <c r="C109" s="92">
        <f t="shared" ref="C109:C134" si="11">14+($O$54/$M$47)*(670*($O$50/$M$47-0.6)^2+185)</f>
        <v>41.799236040239109</v>
      </c>
      <c r="D109" s="92">
        <f t="shared" ref="D109:D133" si="12">10^(1.3-4*($O$54/$M$47-0.5)^2-1.14*($O$50/$M$47))</f>
        <v>1.5944242025650814</v>
      </c>
      <c r="E109" s="92">
        <f t="shared" ref="E109:E134" si="13">1.1+4*($O$54/$M$47)-2.5*((($O$50/$M$47)-0.5)^2)-7*($O$54/$M$47)^4</f>
        <v>1.6844408483667255</v>
      </c>
      <c r="F109" s="94">
        <f t="shared" ref="F109:F134" si="14">(C109/B109)+(D109*((10^3+(1.2*B109^0.66))/(10^3+3.2*B109^0.66))^E109)*(0.15/$M$47)^(0.35+$O$54/$M$47)*(SIN($O$53))^1.2</f>
        <v>0.27000766587939184</v>
      </c>
      <c r="G109" s="94">
        <f t="shared" ref="G109:G134" si="15">$F$144-(($F$144-$G$144)*(1-2.9*($M$48/$M$47)^1.2*4)^2)</f>
        <v>1.5795719223004645</v>
      </c>
    </row>
    <row r="110" spans="2:7" x14ac:dyDescent="0.2">
      <c r="B110" s="94">
        <v>400000</v>
      </c>
      <c r="C110" s="92">
        <f t="shared" si="11"/>
        <v>41.799236040239109</v>
      </c>
      <c r="D110" s="92">
        <f t="shared" si="12"/>
        <v>1.5944242025650814</v>
      </c>
      <c r="E110" s="92">
        <f t="shared" si="13"/>
        <v>1.6844408483667255</v>
      </c>
      <c r="F110" s="94">
        <f t="shared" si="14"/>
        <v>0.26224056765723069</v>
      </c>
      <c r="G110" s="94">
        <f t="shared" si="15"/>
        <v>1.5795719223004645</v>
      </c>
    </row>
    <row r="111" spans="2:7" x14ac:dyDescent="0.2">
      <c r="B111" s="94">
        <v>500000</v>
      </c>
      <c r="C111" s="92">
        <f t="shared" si="11"/>
        <v>41.799236040239109</v>
      </c>
      <c r="D111" s="92">
        <f t="shared" si="12"/>
        <v>1.5944242025650814</v>
      </c>
      <c r="E111" s="92">
        <f t="shared" si="13"/>
        <v>1.6844408483667255</v>
      </c>
      <c r="F111" s="94">
        <f t="shared" si="14"/>
        <v>0.25710224833930734</v>
      </c>
      <c r="G111" s="94">
        <f t="shared" si="15"/>
        <v>1.5795719223004645</v>
      </c>
    </row>
    <row r="112" spans="2:7" x14ac:dyDescent="0.2">
      <c r="B112" s="94">
        <v>600000</v>
      </c>
      <c r="C112" s="92">
        <f t="shared" si="11"/>
        <v>41.799236040239109</v>
      </c>
      <c r="D112" s="92">
        <f t="shared" si="12"/>
        <v>1.5944242025650814</v>
      </c>
      <c r="E112" s="92">
        <f t="shared" si="13"/>
        <v>1.6844408483667255</v>
      </c>
      <c r="F112" s="94">
        <f t="shared" si="14"/>
        <v>0.25340608867832121</v>
      </c>
      <c r="G112" s="94">
        <f t="shared" si="15"/>
        <v>1.5795719223004645</v>
      </c>
    </row>
    <row r="113" spans="2:7" x14ac:dyDescent="0.2">
      <c r="B113" s="94">
        <v>700000</v>
      </c>
      <c r="C113" s="92">
        <f t="shared" si="11"/>
        <v>41.799236040239109</v>
      </c>
      <c r="D113" s="92">
        <f t="shared" si="12"/>
        <v>1.5944242025650814</v>
      </c>
      <c r="E113" s="92">
        <f t="shared" si="13"/>
        <v>1.6844408483667255</v>
      </c>
      <c r="F113" s="94">
        <f t="shared" si="14"/>
        <v>0.25059631044810987</v>
      </c>
      <c r="G113" s="94">
        <f t="shared" si="15"/>
        <v>1.5795719223004645</v>
      </c>
    </row>
    <row r="114" spans="2:7" x14ac:dyDescent="0.2">
      <c r="B114" s="94">
        <v>800000</v>
      </c>
      <c r="C114" s="92">
        <f t="shared" si="11"/>
        <v>41.799236040239109</v>
      </c>
      <c r="D114" s="92">
        <f t="shared" si="12"/>
        <v>1.5944242025650814</v>
      </c>
      <c r="E114" s="92">
        <f t="shared" si="13"/>
        <v>1.6844408483667255</v>
      </c>
      <c r="F114" s="94">
        <f t="shared" si="14"/>
        <v>0.24837482419448534</v>
      </c>
      <c r="G114" s="94">
        <f t="shared" si="15"/>
        <v>1.5795719223004645</v>
      </c>
    </row>
    <row r="115" spans="2:7" x14ac:dyDescent="0.2">
      <c r="B115" s="94">
        <v>900000</v>
      </c>
      <c r="C115" s="92">
        <f t="shared" si="11"/>
        <v>41.799236040239109</v>
      </c>
      <c r="D115" s="92">
        <f t="shared" si="12"/>
        <v>1.5944242025650814</v>
      </c>
      <c r="E115" s="92">
        <f t="shared" si="13"/>
        <v>1.6844408483667255</v>
      </c>
      <c r="F115" s="94">
        <f t="shared" si="14"/>
        <v>0.24656611172243675</v>
      </c>
      <c r="G115" s="94">
        <f t="shared" si="15"/>
        <v>1.5795719223004645</v>
      </c>
    </row>
    <row r="116" spans="2:7" x14ac:dyDescent="0.2">
      <c r="B116" s="94">
        <v>1000000</v>
      </c>
      <c r="C116" s="92">
        <f t="shared" si="11"/>
        <v>41.799236040239109</v>
      </c>
      <c r="D116" s="92">
        <f t="shared" si="12"/>
        <v>1.5944242025650814</v>
      </c>
      <c r="E116" s="92">
        <f t="shared" si="13"/>
        <v>1.6844408483667255</v>
      </c>
      <c r="F116" s="94">
        <f t="shared" si="14"/>
        <v>0.24505949833785368</v>
      </c>
      <c r="G116" s="94">
        <f t="shared" si="15"/>
        <v>1.5795719223004645</v>
      </c>
    </row>
    <row r="117" spans="2:7" x14ac:dyDescent="0.2">
      <c r="B117" s="94">
        <v>2000000</v>
      </c>
      <c r="C117" s="92">
        <f t="shared" si="11"/>
        <v>41.799236040239109</v>
      </c>
      <c r="D117" s="92">
        <f t="shared" si="12"/>
        <v>1.5944242025650814</v>
      </c>
      <c r="E117" s="92">
        <f t="shared" si="13"/>
        <v>1.6844408483667255</v>
      </c>
      <c r="F117" s="94">
        <f t="shared" si="14"/>
        <v>0.23732845679884926</v>
      </c>
      <c r="G117" s="94">
        <f t="shared" si="15"/>
        <v>1.5795719223004645</v>
      </c>
    </row>
    <row r="118" spans="2:7" x14ac:dyDescent="0.2">
      <c r="B118" s="94">
        <v>3000000</v>
      </c>
      <c r="C118" s="92">
        <f t="shared" si="11"/>
        <v>41.799236040239109</v>
      </c>
      <c r="D118" s="92">
        <f t="shared" si="12"/>
        <v>1.5944242025650814</v>
      </c>
      <c r="E118" s="92">
        <f t="shared" si="13"/>
        <v>1.6844408483667255</v>
      </c>
      <c r="F118" s="94">
        <f t="shared" si="14"/>
        <v>0.23417569301539434</v>
      </c>
      <c r="G118" s="94">
        <f t="shared" si="15"/>
        <v>1.5795719223004645</v>
      </c>
    </row>
    <row r="119" spans="2:7" x14ac:dyDescent="0.2">
      <c r="B119" s="94">
        <v>4000000</v>
      </c>
      <c r="C119" s="92">
        <f t="shared" si="11"/>
        <v>41.799236040239109</v>
      </c>
      <c r="D119" s="92">
        <f t="shared" si="12"/>
        <v>1.5944242025650814</v>
      </c>
      <c r="E119" s="92">
        <f t="shared" si="13"/>
        <v>1.6844408483667255</v>
      </c>
      <c r="F119" s="94">
        <f t="shared" si="14"/>
        <v>0.23239289538226859</v>
      </c>
      <c r="G119" s="94">
        <f t="shared" si="15"/>
        <v>1.5795719223004645</v>
      </c>
    </row>
    <row r="120" spans="2:7" x14ac:dyDescent="0.2">
      <c r="B120" s="94">
        <v>5000000</v>
      </c>
      <c r="C120" s="92">
        <f t="shared" si="11"/>
        <v>41.799236040239109</v>
      </c>
      <c r="D120" s="92">
        <f t="shared" si="12"/>
        <v>1.5944242025650814</v>
      </c>
      <c r="E120" s="92">
        <f t="shared" si="13"/>
        <v>1.6844408483667255</v>
      </c>
      <c r="F120" s="94">
        <f t="shared" si="14"/>
        <v>0.23122300113036551</v>
      </c>
      <c r="G120" s="94">
        <f t="shared" si="15"/>
        <v>1.5795719223004645</v>
      </c>
    </row>
    <row r="121" spans="2:7" x14ac:dyDescent="0.2">
      <c r="B121" s="94">
        <v>6000000</v>
      </c>
      <c r="C121" s="92">
        <f t="shared" si="11"/>
        <v>41.799236040239109</v>
      </c>
      <c r="D121" s="92">
        <f t="shared" si="12"/>
        <v>1.5944242025650814</v>
      </c>
      <c r="E121" s="92">
        <f t="shared" si="13"/>
        <v>1.6844408483667255</v>
      </c>
      <c r="F121" s="94">
        <f t="shared" si="14"/>
        <v>0.23038600137547</v>
      </c>
      <c r="G121" s="94">
        <f t="shared" si="15"/>
        <v>1.5795719223004645</v>
      </c>
    </row>
    <row r="122" spans="2:7" x14ac:dyDescent="0.2">
      <c r="B122" s="94">
        <v>7000000</v>
      </c>
      <c r="C122" s="92">
        <f t="shared" si="11"/>
        <v>41.799236040239109</v>
      </c>
      <c r="D122" s="92">
        <f t="shared" si="12"/>
        <v>1.5944242025650814</v>
      </c>
      <c r="E122" s="92">
        <f t="shared" si="13"/>
        <v>1.6844408483667255</v>
      </c>
      <c r="F122" s="94">
        <f t="shared" si="14"/>
        <v>0.2297522102599337</v>
      </c>
      <c r="G122" s="94">
        <f t="shared" si="15"/>
        <v>1.5795719223004645</v>
      </c>
    </row>
    <row r="123" spans="2:7" x14ac:dyDescent="0.2">
      <c r="B123" s="94">
        <v>8000000</v>
      </c>
      <c r="C123" s="92">
        <f t="shared" si="11"/>
        <v>41.799236040239109</v>
      </c>
      <c r="D123" s="92">
        <f t="shared" si="12"/>
        <v>1.5944242025650814</v>
      </c>
      <c r="E123" s="92">
        <f t="shared" si="13"/>
        <v>1.6844408483667255</v>
      </c>
      <c r="F123" s="94">
        <f t="shared" si="14"/>
        <v>0.22925261176898779</v>
      </c>
      <c r="G123" s="94">
        <f t="shared" si="15"/>
        <v>1.5795719223004645</v>
      </c>
    </row>
    <row r="124" spans="2:7" x14ac:dyDescent="0.2">
      <c r="B124" s="94">
        <v>9000000</v>
      </c>
      <c r="C124" s="92">
        <f t="shared" si="11"/>
        <v>41.799236040239109</v>
      </c>
      <c r="D124" s="92">
        <f t="shared" si="12"/>
        <v>1.5944242025650814</v>
      </c>
      <c r="E124" s="92">
        <f t="shared" si="13"/>
        <v>1.6844408483667255</v>
      </c>
      <c r="F124" s="94">
        <f t="shared" si="14"/>
        <v>0.2288468040460386</v>
      </c>
      <c r="G124" s="94">
        <f t="shared" si="15"/>
        <v>1.5795719223004645</v>
      </c>
    </row>
    <row r="125" spans="2:7" x14ac:dyDescent="0.2">
      <c r="B125" s="94">
        <v>10000000</v>
      </c>
      <c r="C125" s="92">
        <f t="shared" si="11"/>
        <v>41.799236040239109</v>
      </c>
      <c r="D125" s="92">
        <f t="shared" si="12"/>
        <v>1.5944242025650814</v>
      </c>
      <c r="E125" s="92">
        <f t="shared" si="13"/>
        <v>1.6844408483667255</v>
      </c>
      <c r="F125" s="94">
        <f t="shared" si="14"/>
        <v>0.22850942652736528</v>
      </c>
      <c r="G125" s="94">
        <f t="shared" si="15"/>
        <v>1.5795719223004645</v>
      </c>
    </row>
    <row r="126" spans="2:7" x14ac:dyDescent="0.2">
      <c r="B126" s="94">
        <v>20000000</v>
      </c>
      <c r="C126" s="92">
        <f t="shared" si="11"/>
        <v>41.799236040239109</v>
      </c>
      <c r="D126" s="92">
        <f t="shared" si="12"/>
        <v>1.5944242025650814</v>
      </c>
      <c r="E126" s="92">
        <f t="shared" si="13"/>
        <v>1.6844408483667255</v>
      </c>
      <c r="F126" s="94">
        <f t="shared" si="14"/>
        <v>0.22678727820743264</v>
      </c>
      <c r="G126" s="94">
        <f t="shared" si="15"/>
        <v>1.5795719223004645</v>
      </c>
    </row>
    <row r="127" spans="2:7" x14ac:dyDescent="0.2">
      <c r="B127" s="94">
        <v>30000000</v>
      </c>
      <c r="C127" s="92">
        <f t="shared" si="11"/>
        <v>41.799236040239109</v>
      </c>
      <c r="D127" s="92">
        <f t="shared" si="12"/>
        <v>1.5944242025650814</v>
      </c>
      <c r="E127" s="92">
        <f t="shared" si="13"/>
        <v>1.6844408483667255</v>
      </c>
      <c r="F127" s="94">
        <f t="shared" si="14"/>
        <v>0.22608920642157018</v>
      </c>
      <c r="G127" s="94">
        <f t="shared" si="15"/>
        <v>1.5795719223004645</v>
      </c>
    </row>
    <row r="128" spans="2:7" x14ac:dyDescent="0.2">
      <c r="B128" s="94">
        <v>40000000</v>
      </c>
      <c r="C128" s="92">
        <f t="shared" si="11"/>
        <v>41.799236040239109</v>
      </c>
      <c r="D128" s="92">
        <f t="shared" si="12"/>
        <v>1.5944242025650814</v>
      </c>
      <c r="E128" s="92">
        <f t="shared" si="13"/>
        <v>1.6844408483667255</v>
      </c>
      <c r="F128" s="94">
        <f t="shared" si="14"/>
        <v>0.22569551551409614</v>
      </c>
      <c r="G128" s="94">
        <f t="shared" si="15"/>
        <v>1.5795719223004645</v>
      </c>
    </row>
    <row r="129" spans="2:8" x14ac:dyDescent="0.2">
      <c r="B129" s="94">
        <v>50000000</v>
      </c>
      <c r="C129" s="92">
        <f t="shared" si="11"/>
        <v>41.799236040239109</v>
      </c>
      <c r="D129" s="92">
        <f t="shared" si="12"/>
        <v>1.5944242025650814</v>
      </c>
      <c r="E129" s="92">
        <f t="shared" si="13"/>
        <v>1.6844408483667255</v>
      </c>
      <c r="F129" s="94">
        <f t="shared" si="14"/>
        <v>0.22543757470683637</v>
      </c>
      <c r="G129" s="94">
        <f t="shared" si="15"/>
        <v>1.5795719223004645</v>
      </c>
    </row>
    <row r="130" spans="2:8" x14ac:dyDescent="0.2">
      <c r="B130" s="94">
        <v>60000000</v>
      </c>
      <c r="C130" s="92">
        <f t="shared" si="11"/>
        <v>41.799236040239109</v>
      </c>
      <c r="D130" s="92">
        <f t="shared" si="12"/>
        <v>1.5944242025650814</v>
      </c>
      <c r="E130" s="92">
        <f t="shared" si="13"/>
        <v>1.6844408483667255</v>
      </c>
      <c r="F130" s="94">
        <f t="shared" si="14"/>
        <v>0.22525322522195371</v>
      </c>
      <c r="G130" s="94">
        <f t="shared" si="15"/>
        <v>1.5795719223004645</v>
      </c>
    </row>
    <row r="131" spans="2:8" x14ac:dyDescent="0.2">
      <c r="B131" s="94">
        <v>70000000</v>
      </c>
      <c r="C131" s="92">
        <f t="shared" si="11"/>
        <v>41.799236040239109</v>
      </c>
      <c r="D131" s="92">
        <f t="shared" si="12"/>
        <v>1.5944242025650814</v>
      </c>
      <c r="E131" s="92">
        <f t="shared" si="13"/>
        <v>1.6844408483667255</v>
      </c>
      <c r="F131" s="94">
        <f t="shared" si="14"/>
        <v>0.22511373914397723</v>
      </c>
      <c r="G131" s="94">
        <f t="shared" si="15"/>
        <v>1.5795719223004645</v>
      </c>
    </row>
    <row r="132" spans="2:8" x14ac:dyDescent="0.2">
      <c r="B132" s="94">
        <v>80000000</v>
      </c>
      <c r="C132" s="92">
        <f t="shared" si="11"/>
        <v>41.799236040239109</v>
      </c>
      <c r="D132" s="92">
        <f t="shared" si="12"/>
        <v>1.5944242025650814</v>
      </c>
      <c r="E132" s="92">
        <f t="shared" si="13"/>
        <v>1.6844408483667255</v>
      </c>
      <c r="F132" s="94">
        <f t="shared" si="14"/>
        <v>0.22500385072922927</v>
      </c>
      <c r="G132" s="94">
        <f t="shared" si="15"/>
        <v>1.5795719223004645</v>
      </c>
    </row>
    <row r="133" spans="2:8" x14ac:dyDescent="0.2">
      <c r="B133" s="94">
        <v>90000000</v>
      </c>
      <c r="C133" s="92">
        <f t="shared" si="11"/>
        <v>41.799236040239109</v>
      </c>
      <c r="D133" s="92">
        <f t="shared" si="12"/>
        <v>1.5944242025650814</v>
      </c>
      <c r="E133" s="92">
        <f t="shared" si="13"/>
        <v>1.6844408483667255</v>
      </c>
      <c r="F133" s="94">
        <f t="shared" si="14"/>
        <v>0.22491463334804859</v>
      </c>
      <c r="G133" s="94">
        <f t="shared" si="15"/>
        <v>1.5795719223004645</v>
      </c>
    </row>
    <row r="134" spans="2:8" ht="14.4" thickBot="1" x14ac:dyDescent="0.25">
      <c r="B134" s="95">
        <v>100000000</v>
      </c>
      <c r="C134" s="92">
        <f t="shared" si="11"/>
        <v>41.799236040239109</v>
      </c>
      <c r="D134" s="92">
        <f>10^(1.3-4*($O$54/$M$47-0.5)^2-1.14*($O$50/$M$47))</f>
        <v>1.5944242025650814</v>
      </c>
      <c r="E134" s="92">
        <f t="shared" si="13"/>
        <v>1.6844408483667255</v>
      </c>
      <c r="F134" s="94">
        <f t="shared" si="14"/>
        <v>0.22484048855356042</v>
      </c>
      <c r="G134" s="94">
        <f t="shared" si="15"/>
        <v>1.5795719223004645</v>
      </c>
    </row>
    <row r="135" spans="2:8" x14ac:dyDescent="0.2">
      <c r="F135" s="83"/>
      <c r="G135" s="83"/>
      <c r="H135" s="83"/>
    </row>
    <row r="136" spans="2:8" x14ac:dyDescent="0.2">
      <c r="F136" s="83"/>
      <c r="G136" s="83"/>
      <c r="H136" s="83"/>
    </row>
    <row r="137" spans="2:8" x14ac:dyDescent="0.2">
      <c r="F137" s="83"/>
      <c r="G137" s="83"/>
      <c r="H137" s="83"/>
    </row>
    <row r="138" spans="2:8" x14ac:dyDescent="0.2">
      <c r="B138" s="5" t="s">
        <v>48</v>
      </c>
      <c r="C138" s="84"/>
      <c r="D138" s="84"/>
      <c r="E138" s="85"/>
      <c r="F138" s="86"/>
      <c r="G138" s="87"/>
      <c r="H138" s="86"/>
    </row>
    <row r="139" spans="2:8" x14ac:dyDescent="0.2">
      <c r="C139" s="84"/>
      <c r="D139" s="84"/>
      <c r="E139" s="85"/>
      <c r="F139" s="86"/>
      <c r="G139" s="87"/>
      <c r="H139" s="86"/>
    </row>
    <row r="140" spans="2:8" x14ac:dyDescent="0.2">
      <c r="B140" s="90" t="s">
        <v>46</v>
      </c>
      <c r="C140" s="90" t="s">
        <v>49</v>
      </c>
      <c r="D140" s="120" t="s">
        <v>38</v>
      </c>
      <c r="G140" s="83"/>
      <c r="H140" s="7"/>
    </row>
    <row r="141" spans="2:8" x14ac:dyDescent="0.2">
      <c r="B141" s="1">
        <v>0.1</v>
      </c>
      <c r="C141" s="89">
        <v>0.15</v>
      </c>
      <c r="D141" s="121">
        <v>2.8000000000000001E-2</v>
      </c>
      <c r="G141" s="83"/>
    </row>
    <row r="142" spans="2:8" ht="14.4" thickBot="1" x14ac:dyDescent="0.25">
      <c r="F142" s="83"/>
      <c r="G142" s="83"/>
      <c r="H142" s="83"/>
    </row>
    <row r="143" spans="2:8" ht="14.4" thickBot="1" x14ac:dyDescent="0.25">
      <c r="B143" s="99" t="s">
        <v>39</v>
      </c>
      <c r="C143" s="97" t="s">
        <v>40</v>
      </c>
      <c r="D143" s="97" t="s">
        <v>41</v>
      </c>
      <c r="E143" s="97" t="s">
        <v>42</v>
      </c>
      <c r="F143" s="98" t="s">
        <v>43</v>
      </c>
      <c r="G143" s="97" t="s">
        <v>44</v>
      </c>
      <c r="H143" s="100" t="s">
        <v>45</v>
      </c>
    </row>
    <row r="144" spans="2:8" x14ac:dyDescent="0.2">
      <c r="B144" s="94">
        <f>10^(4*(1-SIN(O53)))*((25*M47/O54)*((O50/M47)-0.4)^2+((O54/M47)/(0.11*(O54/M47)-0.0048)))</f>
        <v>61.676489417759406</v>
      </c>
      <c r="C144" s="92">
        <f>14+($O$54/$M$47)*(670*($O$50/$M$47-0.6)^2+185)</f>
        <v>41.799236040239109</v>
      </c>
      <c r="D144" s="92">
        <f>10^(1.3-4*($O$54/$M$47-0.5)^2-1.14*($O$50/$M$47))</f>
        <v>1.5944242025650814</v>
      </c>
      <c r="E144" s="92">
        <f>1.1+4*($O$54/$M$47)-2.5*($O$50/$M$47-0.5)^2-7*($O$54/$M$47)</f>
        <v>0.65616343490304718</v>
      </c>
      <c r="F144" s="94">
        <f>C144/B144+D144*((10^3+1.2*B144^0.66)/(10^3+3.2*B144^0.66))^E144*(0.15/$M$47)^(0.35+$O$54/$M$47)*(SIN($O$53))^1.2</f>
        <v>1.8232904428477896</v>
      </c>
      <c r="G144" s="96">
        <f>D144*((1.2/3.2)^E144)*(C141/M47)^(0.35+O54/M47)*SIN(O53)^1.2</f>
        <v>0.61361243450929515</v>
      </c>
      <c r="H144" s="94">
        <f>$F$144-(($F$144-$G$144)*(1-2.9*($M$48/$M$47)^1.2*4)^2)</f>
        <v>1.5795719223004645</v>
      </c>
    </row>
    <row r="145" spans="2:8" ht="14.4" thickBot="1" x14ac:dyDescent="0.25">
      <c r="B145" s="95">
        <v>100000000</v>
      </c>
      <c r="C145" s="92">
        <f>14+($O$54/$M$47)*(670*($O$50/$M$47-0.6)^2+185)</f>
        <v>41.799236040239109</v>
      </c>
      <c r="D145" s="92">
        <f>10^(1.3-4*($O$54/$M$47-0.5)^2-1.14*($O$50/$M$47))</f>
        <v>1.5944242025650814</v>
      </c>
      <c r="E145" s="92">
        <f>1.1+4*($O$54/$M$47)-2.5*($O$50/$M$47-0.5)^2-7*($O$54/$M$47)</f>
        <v>0.65616343490304718</v>
      </c>
      <c r="F145" s="94">
        <f>C145/B145+D145*((10^3+1.2*B145^0.66)/(10^3+3.2*B145^0.66))^E145*(0.15/$M$47)^(0.35+$O$54/$M$47)*(SIN($O$53))^1.2</f>
        <v>0.61471107347070908</v>
      </c>
      <c r="G145" s="96">
        <f>D145*((1.2/3.2)^E145)*(C142/M48)^(0.35+O55/M48)*SIN(O54)^1.2</f>
        <v>0</v>
      </c>
      <c r="H145" s="95">
        <v>0.61361243450929515</v>
      </c>
    </row>
  </sheetData>
  <mergeCells count="3">
    <mergeCell ref="B5:B14"/>
    <mergeCell ref="B15:B24"/>
    <mergeCell ref="B25:B34"/>
  </mergeCells>
  <phoneticPr fontId="20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51"/>
  <sheetViews>
    <sheetView topLeftCell="A6" workbookViewId="0">
      <selection activeCell="F6" sqref="F6:I35"/>
    </sheetView>
  </sheetViews>
  <sheetFormatPr defaultColWidth="8.6640625" defaultRowHeight="13.2" x14ac:dyDescent="0.2"/>
  <cols>
    <col min="1" max="7" width="8.6640625" style="127"/>
    <col min="8" max="8" width="8.6640625" style="127" customWidth="1"/>
    <col min="9" max="16384" width="8.6640625" style="127"/>
  </cols>
  <sheetData>
    <row r="1" spans="1:74" x14ac:dyDescent="0.2">
      <c r="A1" s="126"/>
      <c r="B1" s="126"/>
      <c r="C1" s="126"/>
      <c r="D1" s="126"/>
      <c r="E1" s="126"/>
      <c r="F1" s="126"/>
      <c r="G1" s="126"/>
      <c r="H1" s="126"/>
      <c r="I1" s="126"/>
      <c r="J1" s="126"/>
    </row>
    <row r="2" spans="1:74" ht="13.8" thickBot="1" x14ac:dyDescent="0.25">
      <c r="A2" s="126"/>
      <c r="B2" s="126"/>
      <c r="C2" s="126"/>
      <c r="D2" s="126"/>
      <c r="E2" s="126"/>
      <c r="F2" s="257" t="s">
        <v>54</v>
      </c>
      <c r="G2" s="257"/>
      <c r="H2" s="257"/>
      <c r="I2" s="126"/>
      <c r="J2" s="126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158"/>
      <c r="BL2" s="158"/>
    </row>
    <row r="3" spans="1:74" ht="13.8" thickBot="1" x14ac:dyDescent="0.25">
      <c r="A3" s="128" t="s">
        <v>55</v>
      </c>
      <c r="B3" s="129">
        <v>8</v>
      </c>
      <c r="C3" s="130" t="s">
        <v>56</v>
      </c>
      <c r="D3" s="131" t="s">
        <v>55</v>
      </c>
      <c r="E3" s="130">
        <v>3</v>
      </c>
      <c r="F3" s="132">
        <v>0</v>
      </c>
      <c r="G3" s="133">
        <v>4</v>
      </c>
      <c r="H3" s="134">
        <v>0</v>
      </c>
      <c r="I3" s="126"/>
      <c r="J3" s="126"/>
      <c r="K3" s="158"/>
      <c r="L3" s="158"/>
      <c r="M3" s="158"/>
      <c r="N3" s="158"/>
      <c r="O3" s="158"/>
      <c r="P3" s="179"/>
      <c r="Q3" s="179"/>
      <c r="R3" s="179"/>
      <c r="S3" s="179"/>
      <c r="T3" s="179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  <c r="BD3" s="180"/>
      <c r="BE3" s="159"/>
      <c r="BF3" s="159"/>
      <c r="BG3" s="159"/>
      <c r="BH3" s="159"/>
      <c r="BI3" s="159"/>
      <c r="BJ3" s="159"/>
      <c r="BK3" s="159"/>
      <c r="BL3" s="159"/>
      <c r="BM3" s="135"/>
      <c r="BN3" s="135"/>
      <c r="BO3" s="135"/>
      <c r="BP3" s="135"/>
      <c r="BQ3" s="135"/>
      <c r="BR3" s="135"/>
      <c r="BS3" s="135"/>
      <c r="BT3" s="135"/>
      <c r="BU3" s="135"/>
      <c r="BV3" s="135"/>
    </row>
    <row r="4" spans="1:74" ht="13.8" thickBot="1" x14ac:dyDescent="0.25">
      <c r="A4" s="126"/>
      <c r="B4" s="126" t="s">
        <v>70</v>
      </c>
      <c r="C4" s="126"/>
      <c r="D4" s="126"/>
      <c r="E4" s="126" t="s">
        <v>71</v>
      </c>
      <c r="F4" s="136">
        <f ca="1">RANDBETWEEN(-1,ABS(ABS(H3-G3+F3)-5))</f>
        <v>-1</v>
      </c>
      <c r="G4" s="136"/>
      <c r="H4" s="136"/>
      <c r="I4" s="126"/>
      <c r="J4" s="126"/>
      <c r="K4" s="158"/>
      <c r="L4" s="158"/>
      <c r="M4" s="158"/>
      <c r="N4" s="158"/>
      <c r="O4" s="158"/>
      <c r="P4" s="179"/>
      <c r="Q4" s="179"/>
      <c r="R4" s="179"/>
      <c r="S4" s="179"/>
      <c r="T4" s="179"/>
      <c r="U4" s="180"/>
      <c r="V4" s="180"/>
      <c r="W4" s="180">
        <v>1</v>
      </c>
      <c r="X4" s="180"/>
      <c r="Y4" s="180"/>
      <c r="Z4" s="180"/>
      <c r="AA4" s="180"/>
      <c r="AB4" s="180"/>
      <c r="AC4" s="180">
        <v>2</v>
      </c>
      <c r="AD4" s="180"/>
      <c r="AE4" s="180"/>
      <c r="AF4" s="180"/>
      <c r="AG4" s="180"/>
      <c r="AH4" s="180"/>
      <c r="AI4" s="180">
        <v>3</v>
      </c>
      <c r="AJ4" s="180"/>
      <c r="AK4" s="180"/>
      <c r="AL4" s="180"/>
      <c r="AM4" s="180"/>
      <c r="AN4" s="180"/>
      <c r="AO4" s="180">
        <v>4</v>
      </c>
      <c r="AP4" s="180"/>
      <c r="AQ4" s="180"/>
      <c r="AR4" s="180"/>
      <c r="AS4" s="180"/>
      <c r="AT4" s="180"/>
      <c r="AU4" s="180">
        <v>5</v>
      </c>
      <c r="AV4" s="180"/>
      <c r="AW4" s="180"/>
      <c r="AX4" s="180"/>
      <c r="AY4" s="180"/>
      <c r="AZ4" s="180"/>
      <c r="BA4" s="180">
        <v>6</v>
      </c>
      <c r="BB4" s="180"/>
      <c r="BC4" s="180"/>
      <c r="BD4" s="180"/>
      <c r="BE4" s="159"/>
      <c r="BF4" s="159"/>
      <c r="BG4" s="159"/>
      <c r="BH4" s="159"/>
      <c r="BI4" s="159"/>
      <c r="BJ4" s="159"/>
      <c r="BK4" s="159"/>
      <c r="BL4" s="159"/>
      <c r="BM4" s="135"/>
      <c r="BN4" s="135"/>
      <c r="BO4" s="135"/>
      <c r="BP4" s="135"/>
      <c r="BQ4" s="135"/>
      <c r="BR4" s="135"/>
      <c r="BS4" s="135"/>
      <c r="BT4" s="135"/>
      <c r="BU4" s="135"/>
      <c r="BV4" s="135"/>
    </row>
    <row r="5" spans="1:74" ht="27" thickBot="1" x14ac:dyDescent="0.25">
      <c r="A5" s="126"/>
      <c r="B5" s="126"/>
      <c r="C5" s="126"/>
      <c r="D5" s="126"/>
      <c r="E5" s="178"/>
      <c r="F5" s="176" t="s">
        <v>57</v>
      </c>
      <c r="G5" s="176" t="s">
        <v>58</v>
      </c>
      <c r="H5" s="176" t="s">
        <v>59</v>
      </c>
      <c r="I5" s="177" t="s">
        <v>60</v>
      </c>
      <c r="J5" s="126"/>
      <c r="K5" s="158"/>
      <c r="L5" s="158"/>
      <c r="M5" s="158"/>
      <c r="N5" s="158"/>
      <c r="O5" s="158"/>
      <c r="P5" s="179"/>
      <c r="Q5" s="179"/>
      <c r="R5" s="179"/>
      <c r="S5" s="179"/>
      <c r="T5" s="179"/>
      <c r="U5" s="180"/>
      <c r="V5" s="180"/>
      <c r="W5" s="180" t="s">
        <v>61</v>
      </c>
      <c r="X5" s="180" t="s">
        <v>62</v>
      </c>
      <c r="Y5" s="180" t="s">
        <v>63</v>
      </c>
      <c r="Z5" s="180" t="s">
        <v>64</v>
      </c>
      <c r="AA5" s="180"/>
      <c r="AB5" s="180"/>
      <c r="AC5" s="180" t="s">
        <v>61</v>
      </c>
      <c r="AD5" s="180" t="s">
        <v>62</v>
      </c>
      <c r="AE5" s="180" t="s">
        <v>63</v>
      </c>
      <c r="AF5" s="180" t="s">
        <v>64</v>
      </c>
      <c r="AG5" s="180"/>
      <c r="AH5" s="180"/>
      <c r="AI5" s="180" t="s">
        <v>61</v>
      </c>
      <c r="AJ5" s="180" t="s">
        <v>62</v>
      </c>
      <c r="AK5" s="180" t="s">
        <v>63</v>
      </c>
      <c r="AL5" s="180" t="s">
        <v>64</v>
      </c>
      <c r="AM5" s="180"/>
      <c r="AN5" s="180"/>
      <c r="AO5" s="180" t="s">
        <v>61</v>
      </c>
      <c r="AP5" s="180" t="s">
        <v>62</v>
      </c>
      <c r="AQ5" s="180" t="s">
        <v>68</v>
      </c>
      <c r="AR5" s="180" t="s">
        <v>64</v>
      </c>
      <c r="AS5" s="180"/>
      <c r="AT5" s="180"/>
      <c r="AU5" s="180" t="s">
        <v>61</v>
      </c>
      <c r="AV5" s="180" t="s">
        <v>62</v>
      </c>
      <c r="AW5" s="180" t="s">
        <v>63</v>
      </c>
      <c r="AX5" s="180" t="s">
        <v>64</v>
      </c>
      <c r="AY5" s="180"/>
      <c r="AZ5" s="180"/>
      <c r="BA5" s="180" t="s">
        <v>69</v>
      </c>
      <c r="BB5" s="180" t="s">
        <v>62</v>
      </c>
      <c r="BC5" s="180" t="s">
        <v>63</v>
      </c>
      <c r="BD5" s="180" t="s">
        <v>64</v>
      </c>
      <c r="BE5" s="159"/>
      <c r="BF5" s="159"/>
      <c r="BG5" s="159"/>
      <c r="BH5" s="159"/>
      <c r="BI5" s="159"/>
      <c r="BJ5" s="159"/>
      <c r="BK5" s="159"/>
      <c r="BL5" s="159"/>
      <c r="BM5" s="135"/>
      <c r="BN5" s="135"/>
      <c r="BO5" s="135"/>
      <c r="BP5" s="135"/>
      <c r="BQ5" s="135"/>
      <c r="BR5" s="135"/>
      <c r="BS5" s="135"/>
      <c r="BT5" s="135"/>
      <c r="BU5" s="135"/>
      <c r="BV5" s="135"/>
    </row>
    <row r="6" spans="1:74" x14ac:dyDescent="0.2">
      <c r="A6" s="126"/>
      <c r="B6" s="126"/>
      <c r="C6" s="126"/>
      <c r="D6" s="126"/>
      <c r="E6" s="258" t="s">
        <v>65</v>
      </c>
      <c r="F6" s="162">
        <f ca="1">IF($F$4=5,W6,IF($F$4=4,AC6,IF($F$4=3,AI6,IF($F$4=2,AO6,IF($F$4=1,AU6,IF($F$4=0,W6,AC6))))))</f>
        <v>15</v>
      </c>
      <c r="G6" s="172">
        <f t="shared" ref="G6:I6" ca="1" si="0">IF($F$4=5,X6,IF($F$4=4,AD6,IF($F$4=3,AJ6,IF($F$4=2,AP6,IF($F$4=1,AV6,IF($F$4=0,X6,AD6))))))</f>
        <v>89</v>
      </c>
      <c r="H6" s="163">
        <f t="shared" ca="1" si="0"/>
        <v>0.12</v>
      </c>
      <c r="I6" s="164">
        <f t="shared" ca="1" si="0"/>
        <v>0.15</v>
      </c>
      <c r="J6" s="126"/>
      <c r="K6" s="158"/>
      <c r="L6" s="158"/>
      <c r="M6" s="158"/>
      <c r="N6" s="158"/>
      <c r="O6" s="158"/>
      <c r="P6" s="179"/>
      <c r="Q6" s="179"/>
      <c r="R6" s="179"/>
      <c r="S6" s="179"/>
      <c r="T6" s="179"/>
      <c r="U6" s="180"/>
      <c r="V6" s="180"/>
      <c r="W6" s="180">
        <v>10.9</v>
      </c>
      <c r="X6" s="180">
        <v>186</v>
      </c>
      <c r="Y6" s="180">
        <v>0.49</v>
      </c>
      <c r="Z6" s="180">
        <v>0.125</v>
      </c>
      <c r="AA6" s="180"/>
      <c r="AB6" s="180"/>
      <c r="AC6" s="180">
        <v>15</v>
      </c>
      <c r="AD6" s="180">
        <v>89</v>
      </c>
      <c r="AE6" s="180">
        <v>0.12</v>
      </c>
      <c r="AF6" s="180">
        <v>0.15</v>
      </c>
      <c r="AG6" s="180"/>
      <c r="AH6" s="180"/>
      <c r="AI6" s="180">
        <v>13.7</v>
      </c>
      <c r="AJ6" s="180">
        <v>181</v>
      </c>
      <c r="AK6" s="180">
        <v>0.48</v>
      </c>
      <c r="AL6" s="180">
        <v>0.13700000000000001</v>
      </c>
      <c r="AM6" s="180"/>
      <c r="AN6" s="180"/>
      <c r="AO6" s="180">
        <v>14</v>
      </c>
      <c r="AP6" s="180">
        <v>93</v>
      </c>
      <c r="AQ6" s="180">
        <v>0.15</v>
      </c>
      <c r="AR6" s="180">
        <v>0.14799999999999999</v>
      </c>
      <c r="AS6" s="180"/>
      <c r="AT6" s="180"/>
      <c r="AU6" s="180">
        <v>11.8</v>
      </c>
      <c r="AV6" s="180">
        <v>296</v>
      </c>
      <c r="AW6" s="180">
        <v>1.25</v>
      </c>
      <c r="AX6" s="180">
        <v>0.14499999999999999</v>
      </c>
      <c r="AY6" s="180"/>
      <c r="AZ6" s="180"/>
      <c r="BA6" s="179"/>
      <c r="BB6" s="179"/>
      <c r="BC6" s="179"/>
      <c r="BD6" s="179"/>
      <c r="BE6" s="159"/>
      <c r="BF6" s="159"/>
      <c r="BG6" s="159"/>
      <c r="BH6" s="159"/>
      <c r="BI6" s="159"/>
      <c r="BJ6" s="159"/>
      <c r="BK6" s="159"/>
      <c r="BL6" s="159"/>
      <c r="BM6" s="135"/>
      <c r="BN6" s="135"/>
      <c r="BO6" s="135"/>
      <c r="BP6" s="135"/>
      <c r="BQ6" s="135"/>
      <c r="BR6" s="135"/>
      <c r="BS6" s="135"/>
      <c r="BT6" s="135"/>
      <c r="BU6" s="135"/>
      <c r="BV6" s="135"/>
    </row>
    <row r="7" spans="1:74" x14ac:dyDescent="0.2">
      <c r="A7" s="126"/>
      <c r="B7" s="126"/>
      <c r="C7" s="126"/>
      <c r="D7" s="126"/>
      <c r="E7" s="259"/>
      <c r="F7" s="137">
        <f t="shared" ref="F7:F35" ca="1" si="1">IF($F$4=5,W7,IF($F$4=4,AC7,IF($F$4=3,AI7,IF($F$4=2,AO7,IF($F$4=1,AU7,IF($F$4=0,W7,AC7))))))</f>
        <v>15</v>
      </c>
      <c r="G7" s="138">
        <f t="shared" ref="G7:G35" ca="1" si="2">IF($F$4=5,X7,IF($F$4=4,AD7,IF($F$4=3,AJ7,IF($F$4=2,AP7,IF($F$4=1,AV7,IF($F$4=0,X7,AD7))))))</f>
        <v>128</v>
      </c>
      <c r="H7" s="139">
        <f t="shared" ref="H7:H35" ca="1" si="3">IF($F$4=5,Y7,IF($F$4=4,AE7,IF($F$4=3,AK7,IF($F$4=2,AQ7,IF($F$4=1,AW7,IF($F$4=0,Y7,AE7))))))</f>
        <v>0.22</v>
      </c>
      <c r="I7" s="140">
        <f t="shared" ref="I7:I35" ca="1" si="4">IF($F$4=5,Z7,IF($F$4=4,AF7,IF($F$4=3,AL7,IF($F$4=2,AR7,IF($F$4=1,AX7,IF($F$4=0,Z7,AF7))))))</f>
        <v>0.15</v>
      </c>
      <c r="J7" s="126"/>
      <c r="K7" s="158"/>
      <c r="L7" s="158"/>
      <c r="M7" s="158"/>
      <c r="N7" s="158"/>
      <c r="O7" s="158"/>
      <c r="P7" s="179"/>
      <c r="Q7" s="179"/>
      <c r="R7" s="179"/>
      <c r="S7" s="179"/>
      <c r="T7" s="179"/>
      <c r="U7" s="180"/>
      <c r="V7" s="180"/>
      <c r="W7" s="180">
        <v>10.9</v>
      </c>
      <c r="X7" s="180">
        <v>143</v>
      </c>
      <c r="Y7" s="180">
        <v>0.3</v>
      </c>
      <c r="Z7" s="180">
        <v>0.125</v>
      </c>
      <c r="AA7" s="180"/>
      <c r="AB7" s="180"/>
      <c r="AC7" s="180">
        <v>15</v>
      </c>
      <c r="AD7" s="180">
        <v>128</v>
      </c>
      <c r="AE7" s="180">
        <v>0.22</v>
      </c>
      <c r="AF7" s="180">
        <v>0.15</v>
      </c>
      <c r="AG7" s="180"/>
      <c r="AH7" s="180"/>
      <c r="AI7" s="180">
        <v>13.7</v>
      </c>
      <c r="AJ7" s="180">
        <v>230</v>
      </c>
      <c r="AK7" s="180">
        <v>0.73</v>
      </c>
      <c r="AL7" s="180">
        <v>0.13700000000000001</v>
      </c>
      <c r="AM7" s="180"/>
      <c r="AN7" s="180"/>
      <c r="AO7" s="180">
        <v>14</v>
      </c>
      <c r="AP7" s="180">
        <v>103</v>
      </c>
      <c r="AQ7" s="180">
        <v>0.18</v>
      </c>
      <c r="AR7" s="180">
        <v>0.14799999999999999</v>
      </c>
      <c r="AS7" s="180"/>
      <c r="AT7" s="180"/>
      <c r="AU7" s="180">
        <v>11.8</v>
      </c>
      <c r="AV7" s="180">
        <v>254</v>
      </c>
      <c r="AW7" s="180">
        <v>0.75</v>
      </c>
      <c r="AX7" s="180">
        <v>0.14499999999999999</v>
      </c>
      <c r="AY7" s="180"/>
      <c r="AZ7" s="180"/>
      <c r="BA7" s="179"/>
      <c r="BB7" s="179"/>
      <c r="BC7" s="179"/>
      <c r="BD7" s="179"/>
      <c r="BE7" s="159"/>
      <c r="BF7" s="159"/>
      <c r="BG7" s="159"/>
      <c r="BH7" s="159"/>
      <c r="BI7" s="159"/>
      <c r="BJ7" s="159"/>
      <c r="BK7" s="159"/>
      <c r="BL7" s="159"/>
      <c r="BM7" s="135"/>
      <c r="BN7" s="135"/>
      <c r="BO7" s="135"/>
      <c r="BP7" s="135"/>
      <c r="BQ7" s="135"/>
      <c r="BR7" s="135"/>
      <c r="BS7" s="135"/>
      <c r="BT7" s="135"/>
      <c r="BU7" s="135"/>
      <c r="BV7" s="135"/>
    </row>
    <row r="8" spans="1:74" x14ac:dyDescent="0.2">
      <c r="A8" s="126"/>
      <c r="B8" s="126"/>
      <c r="C8" s="126"/>
      <c r="D8" s="126"/>
      <c r="E8" s="259"/>
      <c r="F8" s="137">
        <f t="shared" ca="1" si="1"/>
        <v>15</v>
      </c>
      <c r="G8" s="138">
        <f t="shared" ca="1" si="2"/>
        <v>147</v>
      </c>
      <c r="H8" s="139">
        <f t="shared" ca="1" si="3"/>
        <v>0.28000000000000003</v>
      </c>
      <c r="I8" s="140">
        <f t="shared" ca="1" si="4"/>
        <v>0.15</v>
      </c>
      <c r="J8" s="126"/>
      <c r="K8" s="158"/>
      <c r="L8" s="158"/>
      <c r="M8" s="158"/>
      <c r="N8" s="158"/>
      <c r="O8" s="158"/>
      <c r="P8" s="179"/>
      <c r="Q8" s="179"/>
      <c r="R8" s="179"/>
      <c r="S8" s="179"/>
      <c r="T8" s="179"/>
      <c r="U8" s="180"/>
      <c r="V8" s="180"/>
      <c r="W8" s="180">
        <v>10.9</v>
      </c>
      <c r="X8" s="180">
        <v>232</v>
      </c>
      <c r="Y8" s="180">
        <v>0.73</v>
      </c>
      <c r="Z8" s="180">
        <v>0.125</v>
      </c>
      <c r="AA8" s="180"/>
      <c r="AB8" s="180"/>
      <c r="AC8" s="180">
        <v>15</v>
      </c>
      <c r="AD8" s="180">
        <v>147</v>
      </c>
      <c r="AE8" s="180">
        <v>0.28000000000000003</v>
      </c>
      <c r="AF8" s="180">
        <v>0.15</v>
      </c>
      <c r="AG8" s="180"/>
      <c r="AH8" s="180"/>
      <c r="AI8" s="180">
        <v>13.7</v>
      </c>
      <c r="AJ8" s="180">
        <v>166</v>
      </c>
      <c r="AK8" s="180">
        <v>0.38</v>
      </c>
      <c r="AL8" s="180">
        <v>0.13700000000000001</v>
      </c>
      <c r="AM8" s="180"/>
      <c r="AN8" s="180"/>
      <c r="AO8" s="180">
        <v>14</v>
      </c>
      <c r="AP8" s="180">
        <v>121</v>
      </c>
      <c r="AQ8" s="180">
        <v>0.22</v>
      </c>
      <c r="AR8" s="180">
        <v>0.14799999999999999</v>
      </c>
      <c r="AS8" s="180"/>
      <c r="AT8" s="180"/>
      <c r="AU8" s="180">
        <v>11.8</v>
      </c>
      <c r="AV8" s="180">
        <v>270</v>
      </c>
      <c r="AW8" s="180">
        <v>0.98</v>
      </c>
      <c r="AX8" s="180">
        <v>0.14499999999999999</v>
      </c>
      <c r="AY8" s="180"/>
      <c r="AZ8" s="180"/>
      <c r="BA8" s="179"/>
      <c r="BB8" s="179"/>
      <c r="BC8" s="179"/>
      <c r="BD8" s="179"/>
      <c r="BE8" s="159"/>
      <c r="BF8" s="159"/>
      <c r="BG8" s="159"/>
      <c r="BH8" s="159"/>
      <c r="BI8" s="159"/>
      <c r="BJ8" s="159"/>
      <c r="BK8" s="159"/>
      <c r="BL8" s="159"/>
      <c r="BM8" s="135"/>
      <c r="BN8" s="135"/>
      <c r="BO8" s="135"/>
      <c r="BP8" s="135"/>
      <c r="BQ8" s="135"/>
      <c r="BR8" s="135"/>
      <c r="BS8" s="135"/>
      <c r="BT8" s="135"/>
      <c r="BU8" s="135"/>
      <c r="BV8" s="135"/>
    </row>
    <row r="9" spans="1:74" x14ac:dyDescent="0.2">
      <c r="A9" s="126"/>
      <c r="B9" s="126"/>
      <c r="C9" s="126"/>
      <c r="D9" s="126"/>
      <c r="E9" s="259"/>
      <c r="F9" s="137">
        <f t="shared" ca="1" si="1"/>
        <v>15</v>
      </c>
      <c r="G9" s="138">
        <f t="shared" ca="1" si="2"/>
        <v>160</v>
      </c>
      <c r="H9" s="139">
        <f t="shared" ca="1" si="3"/>
        <v>0.34</v>
      </c>
      <c r="I9" s="140">
        <f t="shared" ca="1" si="4"/>
        <v>0.15</v>
      </c>
      <c r="J9" s="126"/>
      <c r="K9" s="158"/>
      <c r="L9" s="158"/>
      <c r="M9" s="158"/>
      <c r="N9" s="158"/>
      <c r="O9" s="158"/>
      <c r="P9" s="179"/>
      <c r="Q9" s="179"/>
      <c r="R9" s="179"/>
      <c r="S9" s="179"/>
      <c r="T9" s="179"/>
      <c r="U9" s="180"/>
      <c r="V9" s="180"/>
      <c r="W9" s="180">
        <v>10.9</v>
      </c>
      <c r="X9" s="180">
        <v>240</v>
      </c>
      <c r="Y9" s="180">
        <v>0.75</v>
      </c>
      <c r="Z9" s="180">
        <v>0.125</v>
      </c>
      <c r="AA9" s="180"/>
      <c r="AB9" s="180"/>
      <c r="AC9" s="180">
        <v>15</v>
      </c>
      <c r="AD9" s="180">
        <v>160</v>
      </c>
      <c r="AE9" s="180">
        <v>0.34</v>
      </c>
      <c r="AF9" s="180">
        <v>0.15</v>
      </c>
      <c r="AG9" s="180"/>
      <c r="AH9" s="180"/>
      <c r="AI9" s="180">
        <v>13.7</v>
      </c>
      <c r="AJ9" s="180">
        <v>312</v>
      </c>
      <c r="AK9" s="180">
        <v>1.27</v>
      </c>
      <c r="AL9" s="180">
        <v>0.13700000000000001</v>
      </c>
      <c r="AM9" s="180"/>
      <c r="AN9" s="180"/>
      <c r="AO9" s="180">
        <v>14</v>
      </c>
      <c r="AP9" s="180">
        <v>135</v>
      </c>
      <c r="AQ9" s="180">
        <v>0.3</v>
      </c>
      <c r="AR9" s="180">
        <v>0.14799999999999999</v>
      </c>
      <c r="AS9" s="180"/>
      <c r="AT9" s="180"/>
      <c r="AU9" s="180">
        <v>11.8</v>
      </c>
      <c r="AV9" s="180">
        <v>228</v>
      </c>
      <c r="AW9" s="180">
        <v>0.72399999999999998</v>
      </c>
      <c r="AX9" s="180">
        <v>0.14499999999999999</v>
      </c>
      <c r="AY9" s="180"/>
      <c r="AZ9" s="180"/>
      <c r="BA9" s="179"/>
      <c r="BB9" s="179"/>
      <c r="BC9" s="179"/>
      <c r="BD9" s="179"/>
      <c r="BE9" s="159"/>
      <c r="BF9" s="159"/>
      <c r="BG9" s="159"/>
      <c r="BH9" s="159"/>
      <c r="BI9" s="159"/>
      <c r="BJ9" s="159"/>
      <c r="BK9" s="159"/>
      <c r="BL9" s="159"/>
      <c r="BM9" s="135"/>
      <c r="BN9" s="135"/>
      <c r="BO9" s="135"/>
      <c r="BP9" s="135"/>
      <c r="BQ9" s="135"/>
      <c r="BR9" s="135"/>
      <c r="BS9" s="135"/>
      <c r="BT9" s="135"/>
      <c r="BU9" s="135"/>
      <c r="BV9" s="135"/>
    </row>
    <row r="10" spans="1:74" x14ac:dyDescent="0.2">
      <c r="A10" s="126"/>
      <c r="B10" s="126"/>
      <c r="C10" s="126"/>
      <c r="D10" s="126"/>
      <c r="E10" s="259"/>
      <c r="F10" s="137">
        <f t="shared" ca="1" si="1"/>
        <v>15</v>
      </c>
      <c r="G10" s="138">
        <f t="shared" ca="1" si="2"/>
        <v>185</v>
      </c>
      <c r="H10" s="139">
        <f t="shared" ca="1" si="3"/>
        <v>0.45</v>
      </c>
      <c r="I10" s="140">
        <f t="shared" ca="1" si="4"/>
        <v>0.15</v>
      </c>
      <c r="J10" s="126"/>
      <c r="K10" s="158"/>
      <c r="L10" s="158"/>
      <c r="M10" s="158"/>
      <c r="N10" s="158"/>
      <c r="O10" s="158"/>
      <c r="P10" s="179"/>
      <c r="Q10" s="179"/>
      <c r="R10" s="179"/>
      <c r="S10" s="179"/>
      <c r="T10" s="179"/>
      <c r="U10" s="180"/>
      <c r="V10" s="180"/>
      <c r="W10" s="180">
        <v>10.9</v>
      </c>
      <c r="X10" s="180">
        <v>316</v>
      </c>
      <c r="Y10" s="180">
        <v>1.28</v>
      </c>
      <c r="Z10" s="180">
        <v>0.125</v>
      </c>
      <c r="AA10" s="180"/>
      <c r="AB10" s="180"/>
      <c r="AC10" s="180">
        <v>15</v>
      </c>
      <c r="AD10" s="180">
        <v>185</v>
      </c>
      <c r="AE10" s="180">
        <v>0.45</v>
      </c>
      <c r="AF10" s="180">
        <v>0.15</v>
      </c>
      <c r="AG10" s="180"/>
      <c r="AH10" s="180"/>
      <c r="AI10" s="180">
        <v>13.7</v>
      </c>
      <c r="AJ10" s="180">
        <v>338</v>
      </c>
      <c r="AK10" s="180">
        <v>1.5</v>
      </c>
      <c r="AL10" s="180">
        <v>0.13700000000000001</v>
      </c>
      <c r="AM10" s="180"/>
      <c r="AN10" s="180"/>
      <c r="AO10" s="180">
        <v>14</v>
      </c>
      <c r="AP10" s="180">
        <v>152</v>
      </c>
      <c r="AQ10" s="180">
        <v>0.34</v>
      </c>
      <c r="AR10" s="180">
        <v>0.14799999999999999</v>
      </c>
      <c r="AS10" s="180"/>
      <c r="AT10" s="180"/>
      <c r="AU10" s="180">
        <v>11.8</v>
      </c>
      <c r="AV10" s="180">
        <v>201</v>
      </c>
      <c r="AW10" s="180">
        <v>0.56699999999999995</v>
      </c>
      <c r="AX10" s="180">
        <v>0.14499999999999999</v>
      </c>
      <c r="AY10" s="180"/>
      <c r="AZ10" s="180"/>
      <c r="BA10" s="179"/>
      <c r="BB10" s="179"/>
      <c r="BC10" s="179"/>
      <c r="BD10" s="179"/>
      <c r="BE10" s="159"/>
      <c r="BF10" s="159"/>
      <c r="BG10" s="159"/>
      <c r="BH10" s="159"/>
      <c r="BI10" s="159"/>
      <c r="BJ10" s="159"/>
      <c r="BK10" s="159"/>
      <c r="BL10" s="159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</row>
    <row r="11" spans="1:74" x14ac:dyDescent="0.2">
      <c r="A11" s="126"/>
      <c r="B11" s="126"/>
      <c r="C11" s="126"/>
      <c r="D11" s="126"/>
      <c r="E11" s="259"/>
      <c r="F11" s="137">
        <f t="shared" ca="1" si="1"/>
        <v>15</v>
      </c>
      <c r="G11" s="138">
        <f ca="1">IF($F$4=5,X11,IF($F$4=4,AD11,IF($F$4=3,AJ11,IF($F$4=2,AP11,IF($F$4=1,AV11,IF($F$4=0,X11,AD11))))))</f>
        <v>194</v>
      </c>
      <c r="H11" s="139">
        <f t="shared" ca="1" si="3"/>
        <v>0.5</v>
      </c>
      <c r="I11" s="140">
        <f t="shared" ca="1" si="4"/>
        <v>0.15</v>
      </c>
      <c r="J11" s="126"/>
      <c r="K11" s="158"/>
      <c r="L11" s="158"/>
      <c r="M11" s="158"/>
      <c r="N11" s="158"/>
      <c r="O11" s="158"/>
      <c r="P11" s="179"/>
      <c r="Q11" s="179"/>
      <c r="R11" s="179"/>
      <c r="S11" s="179"/>
      <c r="T11" s="179"/>
      <c r="U11" s="180"/>
      <c r="V11" s="180"/>
      <c r="W11" s="180">
        <v>10.9</v>
      </c>
      <c r="X11" s="180">
        <v>306</v>
      </c>
      <c r="Y11" s="180">
        <v>1.21</v>
      </c>
      <c r="Z11" s="180">
        <v>0.125</v>
      </c>
      <c r="AA11" s="180"/>
      <c r="AB11" s="180"/>
      <c r="AC11" s="180">
        <v>15</v>
      </c>
      <c r="AD11" s="180">
        <v>194</v>
      </c>
      <c r="AE11" s="180">
        <v>0.5</v>
      </c>
      <c r="AF11" s="180">
        <v>0.15</v>
      </c>
      <c r="AG11" s="180"/>
      <c r="AH11" s="180"/>
      <c r="AI11" s="180">
        <v>13.7</v>
      </c>
      <c r="AJ11" s="180">
        <v>299</v>
      </c>
      <c r="AK11" s="180">
        <v>1.18</v>
      </c>
      <c r="AL11" s="180">
        <v>0.13700000000000001</v>
      </c>
      <c r="AM11" s="180"/>
      <c r="AN11" s="180"/>
      <c r="AO11" s="180">
        <v>14</v>
      </c>
      <c r="AP11" s="180">
        <v>188</v>
      </c>
      <c r="AQ11" s="180">
        <v>0.57999999999999996</v>
      </c>
      <c r="AR11" s="180">
        <v>0.14799999999999999</v>
      </c>
      <c r="AS11" s="180"/>
      <c r="AT11" s="180"/>
      <c r="AU11" s="180">
        <v>11.8</v>
      </c>
      <c r="AV11" s="180">
        <v>182</v>
      </c>
      <c r="AW11" s="180">
        <v>0.44600000000000001</v>
      </c>
      <c r="AX11" s="180">
        <v>0.14499999999999999</v>
      </c>
      <c r="AY11" s="180"/>
      <c r="AZ11" s="180"/>
      <c r="BA11" s="179"/>
      <c r="BB11" s="179"/>
      <c r="BC11" s="179"/>
      <c r="BD11" s="179"/>
      <c r="BE11" s="159"/>
      <c r="BF11" s="159"/>
      <c r="BG11" s="159"/>
      <c r="BH11" s="159"/>
      <c r="BI11" s="159"/>
      <c r="BJ11" s="159"/>
      <c r="BK11" s="159"/>
      <c r="BL11" s="159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</row>
    <row r="12" spans="1:74" x14ac:dyDescent="0.2">
      <c r="A12" s="126"/>
      <c r="B12" s="126"/>
      <c r="C12" s="126"/>
      <c r="D12" s="126"/>
      <c r="E12" s="259"/>
      <c r="F12" s="137">
        <f t="shared" ca="1" si="1"/>
        <v>15</v>
      </c>
      <c r="G12" s="138">
        <f t="shared" ca="1" si="2"/>
        <v>223</v>
      </c>
      <c r="H12" s="139">
        <f t="shared" ca="1" si="3"/>
        <v>0.65</v>
      </c>
      <c r="I12" s="140">
        <f t="shared" ca="1" si="4"/>
        <v>0.15</v>
      </c>
      <c r="J12" s="126"/>
      <c r="K12" s="158"/>
      <c r="L12" s="158"/>
      <c r="M12" s="158"/>
      <c r="N12" s="158"/>
      <c r="O12" s="158"/>
      <c r="P12" s="179"/>
      <c r="Q12" s="179"/>
      <c r="R12" s="179"/>
      <c r="S12" s="179"/>
      <c r="T12" s="179"/>
      <c r="U12" s="180"/>
      <c r="V12" s="180"/>
      <c r="W12" s="180">
        <v>10.9</v>
      </c>
      <c r="X12" s="180">
        <v>171</v>
      </c>
      <c r="Y12" s="180">
        <v>0.42</v>
      </c>
      <c r="Z12" s="180">
        <v>0.125</v>
      </c>
      <c r="AA12" s="180"/>
      <c r="AB12" s="180"/>
      <c r="AC12" s="180">
        <v>15</v>
      </c>
      <c r="AD12" s="180">
        <v>223</v>
      </c>
      <c r="AE12" s="180">
        <v>0.65</v>
      </c>
      <c r="AF12" s="180">
        <v>0.15</v>
      </c>
      <c r="AG12" s="180"/>
      <c r="AH12" s="180"/>
      <c r="AI12" s="180">
        <v>13.7</v>
      </c>
      <c r="AJ12" s="180">
        <v>121</v>
      </c>
      <c r="AK12" s="180">
        <v>0.24</v>
      </c>
      <c r="AL12" s="180">
        <v>0.13700000000000001</v>
      </c>
      <c r="AM12" s="180"/>
      <c r="AN12" s="180"/>
      <c r="AO12" s="180">
        <v>14</v>
      </c>
      <c r="AP12" s="180">
        <v>215</v>
      </c>
      <c r="AQ12" s="180">
        <v>0.71</v>
      </c>
      <c r="AR12" s="180">
        <v>0.14799999999999999</v>
      </c>
      <c r="AS12" s="180"/>
      <c r="AT12" s="180"/>
      <c r="AU12" s="180">
        <v>11.8</v>
      </c>
      <c r="AV12" s="180">
        <v>161</v>
      </c>
      <c r="AW12" s="180">
        <v>0.372</v>
      </c>
      <c r="AX12" s="180">
        <v>0.14499999999999999</v>
      </c>
      <c r="AY12" s="180"/>
      <c r="AZ12" s="180"/>
      <c r="BA12" s="179"/>
      <c r="BB12" s="179"/>
      <c r="BC12" s="179"/>
      <c r="BD12" s="179"/>
      <c r="BE12" s="159"/>
      <c r="BF12" s="159"/>
      <c r="BG12" s="159"/>
      <c r="BH12" s="159"/>
      <c r="BI12" s="159"/>
      <c r="BJ12" s="159"/>
      <c r="BK12" s="159"/>
      <c r="BL12" s="159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</row>
    <row r="13" spans="1:74" x14ac:dyDescent="0.2">
      <c r="A13" s="126"/>
      <c r="B13" s="126"/>
      <c r="C13" s="126"/>
      <c r="D13" s="126"/>
      <c r="E13" s="259"/>
      <c r="F13" s="137">
        <f t="shared" ca="1" si="1"/>
        <v>15</v>
      </c>
      <c r="G13" s="138">
        <f t="shared" ca="1" si="2"/>
        <v>242</v>
      </c>
      <c r="H13" s="139">
        <f t="shared" ca="1" si="3"/>
        <v>0.73</v>
      </c>
      <c r="I13" s="140">
        <f t="shared" ca="1" si="4"/>
        <v>0.15</v>
      </c>
      <c r="J13" s="126"/>
      <c r="K13" s="158"/>
      <c r="L13" s="158"/>
      <c r="M13" s="158"/>
      <c r="N13" s="158"/>
      <c r="O13" s="158"/>
      <c r="P13" s="179"/>
      <c r="Q13" s="179"/>
      <c r="R13" s="179"/>
      <c r="S13" s="179"/>
      <c r="T13" s="179"/>
      <c r="U13" s="180"/>
      <c r="V13" s="180"/>
      <c r="W13" s="180">
        <v>10.9</v>
      </c>
      <c r="X13" s="180">
        <v>264</v>
      </c>
      <c r="Y13" s="180">
        <v>0.94000000000000006</v>
      </c>
      <c r="Z13" s="180">
        <v>0.125</v>
      </c>
      <c r="AA13" s="180"/>
      <c r="AB13" s="180"/>
      <c r="AC13" s="180">
        <v>15</v>
      </c>
      <c r="AD13" s="180">
        <v>242</v>
      </c>
      <c r="AE13" s="180">
        <v>0.73</v>
      </c>
      <c r="AF13" s="180">
        <v>0.15</v>
      </c>
      <c r="AG13" s="180"/>
      <c r="AH13" s="180"/>
      <c r="AI13" s="180">
        <v>13.7</v>
      </c>
      <c r="AJ13" s="180">
        <v>101</v>
      </c>
      <c r="AK13" s="180">
        <v>0.13</v>
      </c>
      <c r="AL13" s="180">
        <v>0.13700000000000001</v>
      </c>
      <c r="AM13" s="180"/>
      <c r="AN13" s="180"/>
      <c r="AO13" s="180">
        <v>14</v>
      </c>
      <c r="AP13" s="180">
        <v>251</v>
      </c>
      <c r="AQ13" s="180">
        <v>0.91</v>
      </c>
      <c r="AR13" s="180">
        <v>0.14799999999999999</v>
      </c>
      <c r="AS13" s="180"/>
      <c r="AT13" s="180"/>
      <c r="AU13" s="180">
        <v>11.8</v>
      </c>
      <c r="AV13" s="180">
        <v>142</v>
      </c>
      <c r="AW13" s="180">
        <v>0.27200000000000002</v>
      </c>
      <c r="AX13" s="180">
        <v>0.14499999999999999</v>
      </c>
      <c r="AY13" s="180"/>
      <c r="AZ13" s="180"/>
      <c r="BA13" s="179"/>
      <c r="BB13" s="179"/>
      <c r="BC13" s="179"/>
      <c r="BD13" s="179"/>
      <c r="BE13" s="159"/>
      <c r="BF13" s="159"/>
      <c r="BG13" s="159"/>
      <c r="BH13" s="159"/>
      <c r="BI13" s="159"/>
      <c r="BJ13" s="159"/>
      <c r="BK13" s="159"/>
      <c r="BL13" s="159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pans="1:74" x14ac:dyDescent="0.2">
      <c r="A14" s="126"/>
      <c r="B14" s="126"/>
      <c r="C14" s="126"/>
      <c r="D14" s="126"/>
      <c r="E14" s="259"/>
      <c r="F14" s="137">
        <f t="shared" ca="1" si="1"/>
        <v>15</v>
      </c>
      <c r="G14" s="138">
        <f t="shared" ca="1" si="2"/>
        <v>260</v>
      </c>
      <c r="H14" s="139">
        <f t="shared" ca="1" si="3"/>
        <v>0.85</v>
      </c>
      <c r="I14" s="140">
        <f t="shared" ca="1" si="4"/>
        <v>0.15</v>
      </c>
      <c r="J14" s="126"/>
      <c r="K14" s="158"/>
      <c r="L14" s="158"/>
      <c r="M14" s="158"/>
      <c r="N14" s="158"/>
      <c r="O14" s="158"/>
      <c r="P14" s="179"/>
      <c r="Q14" s="179"/>
      <c r="R14" s="179"/>
      <c r="S14" s="179"/>
      <c r="T14" s="179"/>
      <c r="U14" s="180"/>
      <c r="V14" s="180"/>
      <c r="W14" s="180">
        <v>10.9</v>
      </c>
      <c r="X14" s="180">
        <v>202</v>
      </c>
      <c r="Y14" s="180">
        <v>0.55000000000000004</v>
      </c>
      <c r="Z14" s="180">
        <v>0.125</v>
      </c>
      <c r="AA14" s="180"/>
      <c r="AB14" s="180"/>
      <c r="AC14" s="180">
        <v>15</v>
      </c>
      <c r="AD14" s="180">
        <v>260</v>
      </c>
      <c r="AE14" s="180">
        <v>0.85</v>
      </c>
      <c r="AF14" s="180">
        <v>0.15</v>
      </c>
      <c r="AG14" s="180"/>
      <c r="AH14" s="180"/>
      <c r="AI14" s="180">
        <v>13.7</v>
      </c>
      <c r="AJ14" s="180">
        <v>146</v>
      </c>
      <c r="AK14" s="180">
        <v>0.3</v>
      </c>
      <c r="AL14" s="180">
        <v>0.13700000000000001</v>
      </c>
      <c r="AM14" s="180"/>
      <c r="AN14" s="180"/>
      <c r="AO14" s="180">
        <v>14</v>
      </c>
      <c r="AP14" s="180">
        <v>302</v>
      </c>
      <c r="AQ14" s="180">
        <v>1.4</v>
      </c>
      <c r="AR14" s="180">
        <v>0.14799999999999999</v>
      </c>
      <c r="AS14" s="180"/>
      <c r="AT14" s="180"/>
      <c r="AU14" s="180">
        <v>11.8</v>
      </c>
      <c r="AV14" s="180">
        <v>122</v>
      </c>
      <c r="AW14" s="180">
        <v>0.19700000000000001</v>
      </c>
      <c r="AX14" s="180">
        <v>0.14499999999999999</v>
      </c>
      <c r="AY14" s="180"/>
      <c r="AZ14" s="180"/>
      <c r="BA14" s="179"/>
      <c r="BB14" s="179"/>
      <c r="BC14" s="179"/>
      <c r="BD14" s="179"/>
      <c r="BE14" s="159"/>
      <c r="BF14" s="159"/>
      <c r="BG14" s="159"/>
      <c r="BH14" s="159"/>
      <c r="BI14" s="159"/>
      <c r="BJ14" s="159"/>
      <c r="BK14" s="159"/>
      <c r="BL14" s="159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pans="1:74" ht="13.8" thickBot="1" x14ac:dyDescent="0.25">
      <c r="A15" s="126"/>
      <c r="B15" s="126"/>
      <c r="C15" s="126"/>
      <c r="D15" s="126"/>
      <c r="E15" s="260"/>
      <c r="F15" s="141">
        <f t="shared" ca="1" si="1"/>
        <v>15</v>
      </c>
      <c r="G15" s="142">
        <f t="shared" ca="1" si="2"/>
        <v>267</v>
      </c>
      <c r="H15" s="143">
        <f t="shared" ca="1" si="3"/>
        <v>0.92</v>
      </c>
      <c r="I15" s="144">
        <f t="shared" ca="1" si="4"/>
        <v>0.15</v>
      </c>
      <c r="J15" s="126"/>
      <c r="K15" s="158"/>
      <c r="L15" s="158"/>
      <c r="M15" s="158"/>
      <c r="N15" s="158"/>
      <c r="O15" s="158"/>
      <c r="P15" s="179"/>
      <c r="Q15" s="179"/>
      <c r="R15" s="179"/>
      <c r="S15" s="179"/>
      <c r="T15" s="179"/>
      <c r="U15" s="180"/>
      <c r="V15" s="180"/>
      <c r="W15" s="180">
        <v>10.9</v>
      </c>
      <c r="X15" s="180">
        <v>87</v>
      </c>
      <c r="Y15" s="180">
        <v>0.12</v>
      </c>
      <c r="Z15" s="180">
        <v>0.125</v>
      </c>
      <c r="AA15" s="180"/>
      <c r="AB15" s="180"/>
      <c r="AC15" s="180">
        <v>15</v>
      </c>
      <c r="AD15" s="180">
        <v>267</v>
      </c>
      <c r="AE15" s="180">
        <v>0.92</v>
      </c>
      <c r="AF15" s="180">
        <v>0.15</v>
      </c>
      <c r="AG15" s="180"/>
      <c r="AH15" s="180"/>
      <c r="AI15" s="180">
        <v>13.7</v>
      </c>
      <c r="AJ15" s="180">
        <v>248.00000000000003</v>
      </c>
      <c r="AK15" s="180">
        <v>0.85000000000000009</v>
      </c>
      <c r="AL15" s="180">
        <v>0.13700000000000001</v>
      </c>
      <c r="AM15" s="180"/>
      <c r="AN15" s="180"/>
      <c r="AO15" s="180">
        <v>14</v>
      </c>
      <c r="AP15" s="180">
        <v>318</v>
      </c>
      <c r="AQ15" s="180">
        <v>1.5</v>
      </c>
      <c r="AR15" s="180">
        <v>0.14799999999999999</v>
      </c>
      <c r="AS15" s="180"/>
      <c r="AT15" s="180"/>
      <c r="AU15" s="180">
        <v>11.8</v>
      </c>
      <c r="AV15" s="180">
        <v>85</v>
      </c>
      <c r="AW15" s="180">
        <v>0.124</v>
      </c>
      <c r="AX15" s="180">
        <v>0.14499999999999999</v>
      </c>
      <c r="AY15" s="180"/>
      <c r="AZ15" s="180"/>
      <c r="BA15" s="179"/>
      <c r="BB15" s="179"/>
      <c r="BC15" s="179"/>
      <c r="BD15" s="179"/>
      <c r="BE15" s="159"/>
      <c r="BF15" s="159"/>
      <c r="BG15" s="159"/>
      <c r="BH15" s="159"/>
      <c r="BI15" s="159"/>
      <c r="BJ15" s="159"/>
      <c r="BK15" s="159"/>
      <c r="BL15" s="159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pans="1:74" x14ac:dyDescent="0.2">
      <c r="A16" s="126"/>
      <c r="B16" s="126"/>
      <c r="C16" s="126"/>
      <c r="D16" s="126"/>
      <c r="E16" s="261" t="s">
        <v>66</v>
      </c>
      <c r="F16" s="165">
        <f ca="1">IF($F$4=5,W16,IF($F$4=4,AC16,IF($F$4=3,AI16,IF($F$4=2,AO16,IF($F$4=1,AU16,IF($F$4=0,W16,AC16))))))</f>
        <v>15.4</v>
      </c>
      <c r="G16" s="173">
        <f t="shared" ca="1" si="2"/>
        <v>74</v>
      </c>
      <c r="H16" s="166">
        <f t="shared" ca="1" si="3"/>
        <v>0.22</v>
      </c>
      <c r="I16" s="167">
        <f t="shared" ca="1" si="4"/>
        <v>0.15</v>
      </c>
      <c r="J16" s="126"/>
      <c r="K16" s="158"/>
      <c r="L16" s="158"/>
      <c r="M16" s="158"/>
      <c r="N16" s="158"/>
      <c r="O16" s="158"/>
      <c r="P16" s="179"/>
      <c r="Q16" s="179"/>
      <c r="R16" s="179"/>
      <c r="S16" s="179"/>
      <c r="T16" s="179"/>
      <c r="U16" s="180"/>
      <c r="V16" s="180"/>
      <c r="W16" s="180">
        <v>12.9</v>
      </c>
      <c r="X16" s="180">
        <v>73</v>
      </c>
      <c r="Y16" s="180">
        <v>0.19</v>
      </c>
      <c r="Z16" s="180">
        <v>0.125</v>
      </c>
      <c r="AA16" s="180"/>
      <c r="AB16" s="180"/>
      <c r="AC16" s="180">
        <v>15.4</v>
      </c>
      <c r="AD16" s="180">
        <v>74</v>
      </c>
      <c r="AE16" s="180">
        <v>0.22</v>
      </c>
      <c r="AF16" s="180">
        <v>0.15</v>
      </c>
      <c r="AG16" s="180"/>
      <c r="AH16" s="180"/>
      <c r="AI16" s="180">
        <v>14.3</v>
      </c>
      <c r="AJ16" s="180">
        <v>101</v>
      </c>
      <c r="AK16" s="180">
        <v>0.35000000000000003</v>
      </c>
      <c r="AL16" s="180">
        <v>0.13700000000000001</v>
      </c>
      <c r="AM16" s="180"/>
      <c r="AN16" s="180"/>
      <c r="AO16" s="180">
        <v>14.3</v>
      </c>
      <c r="AP16" s="180">
        <v>91</v>
      </c>
      <c r="AQ16" s="180">
        <v>0.28000000000000003</v>
      </c>
      <c r="AR16" s="180">
        <v>0.14799999999999999</v>
      </c>
      <c r="AS16" s="180"/>
      <c r="AT16" s="180"/>
      <c r="AU16" s="180">
        <v>12.8</v>
      </c>
      <c r="AV16" s="180">
        <v>236</v>
      </c>
      <c r="AW16" s="180">
        <v>2.13</v>
      </c>
      <c r="AX16" s="180">
        <v>0.14499999999999999</v>
      </c>
      <c r="AY16" s="180"/>
      <c r="AZ16" s="180"/>
      <c r="BA16" s="179"/>
      <c r="BB16" s="179"/>
      <c r="BC16" s="179"/>
      <c r="BD16" s="179"/>
      <c r="BE16" s="159"/>
      <c r="BF16" s="159"/>
      <c r="BG16" s="159"/>
      <c r="BH16" s="159"/>
      <c r="BI16" s="159"/>
      <c r="BJ16" s="159"/>
      <c r="BK16" s="159"/>
      <c r="BL16" s="159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pans="1:74" x14ac:dyDescent="0.2">
      <c r="A17" s="126"/>
      <c r="B17" s="126"/>
      <c r="C17" s="126"/>
      <c r="D17" s="126"/>
      <c r="E17" s="262"/>
      <c r="F17" s="160">
        <f t="shared" ca="1" si="1"/>
        <v>15.4</v>
      </c>
      <c r="G17" s="174">
        <f t="shared" ca="1" si="2"/>
        <v>89</v>
      </c>
      <c r="H17" s="161">
        <f t="shared" ca="1" si="3"/>
        <v>0.32</v>
      </c>
      <c r="I17" s="168">
        <f t="shared" ca="1" si="4"/>
        <v>0.15</v>
      </c>
      <c r="J17" s="126"/>
      <c r="K17" s="158"/>
      <c r="L17" s="158"/>
      <c r="M17" s="158"/>
      <c r="N17" s="158"/>
      <c r="O17" s="158"/>
      <c r="P17" s="179"/>
      <c r="Q17" s="179"/>
      <c r="R17" s="179"/>
      <c r="S17" s="179"/>
      <c r="T17" s="179"/>
      <c r="U17" s="180"/>
      <c r="V17" s="180"/>
      <c r="W17" s="180">
        <v>12.9</v>
      </c>
      <c r="X17" s="180">
        <v>142</v>
      </c>
      <c r="Y17" s="180">
        <v>0.77999999999999992</v>
      </c>
      <c r="Z17" s="180">
        <v>0.125</v>
      </c>
      <c r="AA17" s="180"/>
      <c r="AB17" s="180"/>
      <c r="AC17" s="180">
        <v>15.4</v>
      </c>
      <c r="AD17" s="180">
        <v>89</v>
      </c>
      <c r="AE17" s="180">
        <v>0.32</v>
      </c>
      <c r="AF17" s="180">
        <v>0.15</v>
      </c>
      <c r="AG17" s="180"/>
      <c r="AH17" s="180"/>
      <c r="AI17" s="180">
        <v>14.3</v>
      </c>
      <c r="AJ17" s="180">
        <v>82</v>
      </c>
      <c r="AK17" s="180">
        <v>0.18</v>
      </c>
      <c r="AL17" s="180">
        <v>0.13700000000000001</v>
      </c>
      <c r="AM17" s="180"/>
      <c r="AN17" s="180"/>
      <c r="AO17" s="180">
        <v>14.3</v>
      </c>
      <c r="AP17" s="180">
        <v>103</v>
      </c>
      <c r="AQ17" s="180">
        <v>0.36</v>
      </c>
      <c r="AR17" s="180">
        <v>0.14799999999999999</v>
      </c>
      <c r="AS17" s="180"/>
      <c r="AT17" s="180"/>
      <c r="AU17" s="180">
        <v>12.8</v>
      </c>
      <c r="AV17" s="180">
        <v>211</v>
      </c>
      <c r="AW17" s="180">
        <v>1.57</v>
      </c>
      <c r="AX17" s="180">
        <v>0.14499999999999999</v>
      </c>
      <c r="AY17" s="180"/>
      <c r="AZ17" s="180"/>
      <c r="BA17" s="179"/>
      <c r="BB17" s="179"/>
      <c r="BC17" s="179"/>
      <c r="BD17" s="179"/>
      <c r="BE17" s="159"/>
      <c r="BF17" s="159"/>
      <c r="BG17" s="159"/>
      <c r="BH17" s="159"/>
      <c r="BI17" s="159"/>
      <c r="BJ17" s="159"/>
      <c r="BK17" s="159"/>
      <c r="BL17" s="159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</row>
    <row r="18" spans="1:74" x14ac:dyDescent="0.2">
      <c r="A18" s="126"/>
      <c r="B18" s="126"/>
      <c r="C18" s="126"/>
      <c r="D18" s="126"/>
      <c r="E18" s="262"/>
      <c r="F18" s="160">
        <f t="shared" ca="1" si="1"/>
        <v>15.4</v>
      </c>
      <c r="G18" s="174">
        <f t="shared" ca="1" si="2"/>
        <v>107</v>
      </c>
      <c r="H18" s="161">
        <f t="shared" ca="1" si="3"/>
        <v>0.5</v>
      </c>
      <c r="I18" s="168">
        <f t="shared" ca="1" si="4"/>
        <v>0.15</v>
      </c>
      <c r="J18" s="126"/>
      <c r="K18" s="158"/>
      <c r="L18" s="158"/>
      <c r="M18" s="158"/>
      <c r="N18" s="158"/>
      <c r="O18" s="158"/>
      <c r="P18" s="179"/>
      <c r="Q18" s="179"/>
      <c r="R18" s="179"/>
      <c r="S18" s="179"/>
      <c r="T18" s="179"/>
      <c r="U18" s="180"/>
      <c r="V18" s="180"/>
      <c r="W18" s="180">
        <v>12.9</v>
      </c>
      <c r="X18" s="180">
        <v>123</v>
      </c>
      <c r="Y18" s="180">
        <v>0.52</v>
      </c>
      <c r="Z18" s="180">
        <v>0.125</v>
      </c>
      <c r="AA18" s="180"/>
      <c r="AB18" s="180"/>
      <c r="AC18" s="180">
        <v>15.4</v>
      </c>
      <c r="AD18" s="180">
        <v>107</v>
      </c>
      <c r="AE18" s="180">
        <v>0.5</v>
      </c>
      <c r="AF18" s="180">
        <v>0.15</v>
      </c>
      <c r="AG18" s="180"/>
      <c r="AH18" s="180"/>
      <c r="AI18" s="180">
        <v>14.3</v>
      </c>
      <c r="AJ18" s="180">
        <v>121</v>
      </c>
      <c r="AK18" s="180">
        <v>0.57000000000000006</v>
      </c>
      <c r="AL18" s="180">
        <v>0.13700000000000001</v>
      </c>
      <c r="AM18" s="180"/>
      <c r="AN18" s="180"/>
      <c r="AO18" s="180">
        <v>14.3</v>
      </c>
      <c r="AP18" s="180">
        <v>119</v>
      </c>
      <c r="AQ18" s="180">
        <v>0.5</v>
      </c>
      <c r="AR18" s="180">
        <v>0.14799999999999999</v>
      </c>
      <c r="AS18" s="180"/>
      <c r="AT18" s="180"/>
      <c r="AU18" s="180">
        <v>12.8</v>
      </c>
      <c r="AV18" s="180">
        <v>198</v>
      </c>
      <c r="AW18" s="180">
        <v>1.47</v>
      </c>
      <c r="AX18" s="180">
        <v>0.14499999999999999</v>
      </c>
      <c r="AY18" s="180"/>
      <c r="AZ18" s="180"/>
      <c r="BA18" s="179"/>
      <c r="BB18" s="179"/>
      <c r="BC18" s="179"/>
      <c r="BD18" s="179"/>
      <c r="BE18" s="159"/>
      <c r="BF18" s="159"/>
      <c r="BG18" s="159"/>
      <c r="BH18" s="159"/>
      <c r="BI18" s="159"/>
      <c r="BJ18" s="159"/>
      <c r="BK18" s="159"/>
      <c r="BL18" s="159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</row>
    <row r="19" spans="1:74" x14ac:dyDescent="0.2">
      <c r="A19" s="126"/>
      <c r="B19" s="126"/>
      <c r="C19" s="126"/>
      <c r="D19" s="126"/>
      <c r="E19" s="262"/>
      <c r="F19" s="160">
        <f t="shared" ca="1" si="1"/>
        <v>15.4</v>
      </c>
      <c r="G19" s="174">
        <f t="shared" ca="1" si="2"/>
        <v>120</v>
      </c>
      <c r="H19" s="161">
        <f t="shared" ca="1" si="3"/>
        <v>0.57999999999999996</v>
      </c>
      <c r="I19" s="168">
        <f t="shared" ca="1" si="4"/>
        <v>0.15</v>
      </c>
      <c r="J19" s="126"/>
      <c r="K19" s="158"/>
      <c r="L19" s="158"/>
      <c r="M19" s="158"/>
      <c r="N19" s="158"/>
      <c r="O19" s="158"/>
      <c r="P19" s="179"/>
      <c r="Q19" s="179"/>
      <c r="R19" s="179"/>
      <c r="S19" s="179"/>
      <c r="T19" s="179"/>
      <c r="U19" s="180"/>
      <c r="V19" s="180"/>
      <c r="W19" s="180">
        <v>12.9</v>
      </c>
      <c r="X19" s="180">
        <v>218</v>
      </c>
      <c r="Y19" s="180">
        <v>1.9</v>
      </c>
      <c r="Z19" s="180">
        <v>0.125</v>
      </c>
      <c r="AA19" s="180"/>
      <c r="AB19" s="180"/>
      <c r="AC19" s="180">
        <v>15.4</v>
      </c>
      <c r="AD19" s="180">
        <v>120</v>
      </c>
      <c r="AE19" s="180">
        <v>0.57999999999999996</v>
      </c>
      <c r="AF19" s="180">
        <v>0.15</v>
      </c>
      <c r="AG19" s="180"/>
      <c r="AH19" s="180"/>
      <c r="AI19" s="180">
        <v>14.3</v>
      </c>
      <c r="AJ19" s="180">
        <v>146</v>
      </c>
      <c r="AK19" s="180">
        <v>0.8</v>
      </c>
      <c r="AL19" s="180">
        <v>0.13700000000000001</v>
      </c>
      <c r="AM19" s="180"/>
      <c r="AN19" s="180"/>
      <c r="AO19" s="180">
        <v>14.3</v>
      </c>
      <c r="AP19" s="180">
        <v>145</v>
      </c>
      <c r="AQ19" s="180">
        <v>0.79</v>
      </c>
      <c r="AR19" s="180">
        <v>0.14799999999999999</v>
      </c>
      <c r="AS19" s="180"/>
      <c r="AT19" s="180"/>
      <c r="AU19" s="180">
        <v>12.8</v>
      </c>
      <c r="AV19" s="180">
        <v>177</v>
      </c>
      <c r="AW19" s="180">
        <v>1.23</v>
      </c>
      <c r="AX19" s="180">
        <v>0.14499999999999999</v>
      </c>
      <c r="AY19" s="180"/>
      <c r="AZ19" s="180"/>
      <c r="BA19" s="179"/>
      <c r="BB19" s="179"/>
      <c r="BC19" s="179"/>
      <c r="BD19" s="179"/>
      <c r="BE19" s="159"/>
      <c r="BF19" s="159"/>
      <c r="BG19" s="159"/>
      <c r="BH19" s="159"/>
      <c r="BI19" s="159"/>
      <c r="BJ19" s="159"/>
      <c r="BK19" s="159"/>
      <c r="BL19" s="159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</row>
    <row r="20" spans="1:74" x14ac:dyDescent="0.2">
      <c r="A20" s="126"/>
      <c r="B20" s="126"/>
      <c r="C20" s="126"/>
      <c r="D20" s="126"/>
      <c r="E20" s="262"/>
      <c r="F20" s="160">
        <f t="shared" ca="1" si="1"/>
        <v>15.4</v>
      </c>
      <c r="G20" s="174">
        <f t="shared" ca="1" si="2"/>
        <v>134</v>
      </c>
      <c r="H20" s="161">
        <f t="shared" ca="1" si="3"/>
        <v>0.82</v>
      </c>
      <c r="I20" s="168">
        <f t="shared" ca="1" si="4"/>
        <v>0.15</v>
      </c>
      <c r="J20" s="126"/>
      <c r="K20" s="158"/>
      <c r="L20" s="158"/>
      <c r="M20" s="158"/>
      <c r="N20" s="158"/>
      <c r="O20" s="158"/>
      <c r="P20" s="179"/>
      <c r="Q20" s="179"/>
      <c r="R20" s="179"/>
      <c r="S20" s="179"/>
      <c r="T20" s="179"/>
      <c r="U20" s="180"/>
      <c r="V20" s="180"/>
      <c r="W20" s="180">
        <v>12.9</v>
      </c>
      <c r="X20" s="180">
        <v>252</v>
      </c>
      <c r="Y20" s="180">
        <v>2.6100000000000003</v>
      </c>
      <c r="Z20" s="180">
        <v>0.125</v>
      </c>
      <c r="AA20" s="180"/>
      <c r="AB20" s="180"/>
      <c r="AC20" s="180">
        <v>15.4</v>
      </c>
      <c r="AD20" s="180">
        <v>134</v>
      </c>
      <c r="AE20" s="180">
        <v>0.82</v>
      </c>
      <c r="AF20" s="180">
        <v>0.15</v>
      </c>
      <c r="AG20" s="180"/>
      <c r="AH20" s="180"/>
      <c r="AI20" s="180">
        <v>14.3</v>
      </c>
      <c r="AJ20" s="180">
        <v>160</v>
      </c>
      <c r="AK20" s="180">
        <v>1</v>
      </c>
      <c r="AL20" s="180">
        <v>0.13700000000000001</v>
      </c>
      <c r="AM20" s="180"/>
      <c r="AN20" s="180"/>
      <c r="AO20" s="180">
        <v>14.3</v>
      </c>
      <c r="AP20" s="180">
        <v>161</v>
      </c>
      <c r="AQ20" s="180">
        <v>0.95</v>
      </c>
      <c r="AR20" s="180">
        <v>0.14799999999999999</v>
      </c>
      <c r="AS20" s="180"/>
      <c r="AT20" s="180"/>
      <c r="AU20" s="180">
        <v>12.8</v>
      </c>
      <c r="AV20" s="180">
        <v>148</v>
      </c>
      <c r="AW20" s="180">
        <v>0.82</v>
      </c>
      <c r="AX20" s="180">
        <v>0.14499999999999999</v>
      </c>
      <c r="AY20" s="180"/>
      <c r="AZ20" s="180"/>
      <c r="BA20" s="179"/>
      <c r="BB20" s="179"/>
      <c r="BC20" s="179"/>
      <c r="BD20" s="179"/>
      <c r="BE20" s="159"/>
      <c r="BF20" s="159"/>
      <c r="BG20" s="159"/>
      <c r="BH20" s="159"/>
      <c r="BI20" s="159"/>
      <c r="BJ20" s="159"/>
      <c r="BK20" s="159"/>
      <c r="BL20" s="159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</row>
    <row r="21" spans="1:74" x14ac:dyDescent="0.2">
      <c r="A21" s="126"/>
      <c r="B21" s="126"/>
      <c r="C21" s="126"/>
      <c r="D21" s="126"/>
      <c r="E21" s="262"/>
      <c r="F21" s="160">
        <f t="shared" ca="1" si="1"/>
        <v>15.4</v>
      </c>
      <c r="G21" s="174">
        <f t="shared" ca="1" si="2"/>
        <v>153</v>
      </c>
      <c r="H21" s="161">
        <f t="shared" ca="1" si="3"/>
        <v>1</v>
      </c>
      <c r="I21" s="168">
        <f t="shared" ca="1" si="4"/>
        <v>0.15</v>
      </c>
      <c r="J21" s="126"/>
      <c r="K21" s="158"/>
      <c r="L21" s="158"/>
      <c r="M21" s="158"/>
      <c r="N21" s="158"/>
      <c r="O21" s="158"/>
      <c r="P21" s="179"/>
      <c r="Q21" s="179"/>
      <c r="R21" s="179"/>
      <c r="S21" s="179"/>
      <c r="T21" s="179"/>
      <c r="U21" s="180"/>
      <c r="V21" s="180"/>
      <c r="W21" s="180">
        <v>12.9</v>
      </c>
      <c r="X21" s="180">
        <v>197</v>
      </c>
      <c r="Y21" s="180">
        <v>1.47</v>
      </c>
      <c r="Z21" s="180">
        <v>0.125</v>
      </c>
      <c r="AA21" s="180"/>
      <c r="AB21" s="180"/>
      <c r="AC21" s="180">
        <v>15.4</v>
      </c>
      <c r="AD21" s="180">
        <v>153</v>
      </c>
      <c r="AE21" s="180">
        <v>1</v>
      </c>
      <c r="AF21" s="180">
        <v>0.15</v>
      </c>
      <c r="AG21" s="180"/>
      <c r="AH21" s="180"/>
      <c r="AI21" s="180">
        <v>14.3</v>
      </c>
      <c r="AJ21" s="180">
        <v>185</v>
      </c>
      <c r="AK21" s="180">
        <v>1.35</v>
      </c>
      <c r="AL21" s="180">
        <v>0.13700000000000001</v>
      </c>
      <c r="AM21" s="180"/>
      <c r="AN21" s="180"/>
      <c r="AO21" s="180">
        <v>14.3</v>
      </c>
      <c r="AP21" s="180">
        <v>190</v>
      </c>
      <c r="AQ21" s="180">
        <v>1.3</v>
      </c>
      <c r="AR21" s="180">
        <v>0.14799999999999999</v>
      </c>
      <c r="AS21" s="180"/>
      <c r="AT21" s="180"/>
      <c r="AU21" s="180">
        <v>12.8</v>
      </c>
      <c r="AV21" s="180">
        <v>131</v>
      </c>
      <c r="AW21" s="180">
        <v>0.69799999999999995</v>
      </c>
      <c r="AX21" s="180">
        <v>0.14499999999999999</v>
      </c>
      <c r="AY21" s="180"/>
      <c r="AZ21" s="180"/>
      <c r="BA21" s="179"/>
      <c r="BB21" s="179"/>
      <c r="BC21" s="179"/>
      <c r="BD21" s="179"/>
      <c r="BE21" s="159"/>
      <c r="BF21" s="159"/>
      <c r="BG21" s="159"/>
      <c r="BH21" s="159"/>
      <c r="BI21" s="159"/>
      <c r="BJ21" s="159"/>
      <c r="BK21" s="159"/>
      <c r="BL21" s="159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</row>
    <row r="22" spans="1:74" x14ac:dyDescent="0.2">
      <c r="A22" s="126"/>
      <c r="B22" s="126"/>
      <c r="C22" s="126"/>
      <c r="D22" s="126"/>
      <c r="E22" s="262"/>
      <c r="F22" s="160">
        <f t="shared" ca="1" si="1"/>
        <v>15.4</v>
      </c>
      <c r="G22" s="174">
        <f t="shared" ca="1" si="2"/>
        <v>171</v>
      </c>
      <c r="H22" s="161">
        <f t="shared" ca="1" si="3"/>
        <v>1.38</v>
      </c>
      <c r="I22" s="168">
        <f t="shared" ca="1" si="4"/>
        <v>0.15</v>
      </c>
      <c r="J22" s="126"/>
      <c r="K22" s="158"/>
      <c r="L22" s="158"/>
      <c r="M22" s="158"/>
      <c r="N22" s="158"/>
      <c r="O22" s="158"/>
      <c r="P22" s="179"/>
      <c r="Q22" s="179"/>
      <c r="R22" s="179"/>
      <c r="S22" s="179"/>
      <c r="T22" s="179"/>
      <c r="U22" s="180"/>
      <c r="V22" s="180"/>
      <c r="W22" s="180">
        <v>12.9</v>
      </c>
      <c r="X22" s="180">
        <v>177</v>
      </c>
      <c r="Y22" s="180">
        <v>1.1199999999999999</v>
      </c>
      <c r="Z22" s="180">
        <v>0.125</v>
      </c>
      <c r="AA22" s="180"/>
      <c r="AB22" s="180"/>
      <c r="AC22" s="180">
        <v>15.4</v>
      </c>
      <c r="AD22" s="180">
        <v>171</v>
      </c>
      <c r="AE22" s="180">
        <v>1.38</v>
      </c>
      <c r="AF22" s="180">
        <v>0.15</v>
      </c>
      <c r="AG22" s="180"/>
      <c r="AH22" s="180"/>
      <c r="AI22" s="180">
        <v>14.3</v>
      </c>
      <c r="AJ22" s="180">
        <v>229</v>
      </c>
      <c r="AK22" s="180">
        <v>1.7999999999999998</v>
      </c>
      <c r="AL22" s="180">
        <v>0.13700000000000001</v>
      </c>
      <c r="AM22" s="180"/>
      <c r="AN22" s="180"/>
      <c r="AO22" s="180">
        <v>14.3</v>
      </c>
      <c r="AP22" s="180">
        <v>215</v>
      </c>
      <c r="AQ22" s="180">
        <v>1.8</v>
      </c>
      <c r="AR22" s="180">
        <v>0.14799999999999999</v>
      </c>
      <c r="AS22" s="180"/>
      <c r="AT22" s="180"/>
      <c r="AU22" s="180">
        <v>12.8</v>
      </c>
      <c r="AV22" s="180">
        <v>118</v>
      </c>
      <c r="AW22" s="180">
        <v>0.56699999999999995</v>
      </c>
      <c r="AX22" s="180">
        <v>0.14499999999999999</v>
      </c>
      <c r="AY22" s="180"/>
      <c r="AZ22" s="180"/>
      <c r="BA22" s="179"/>
      <c r="BB22" s="179"/>
      <c r="BC22" s="179"/>
      <c r="BD22" s="179"/>
      <c r="BE22" s="159"/>
      <c r="BF22" s="159"/>
      <c r="BG22" s="159"/>
      <c r="BH22" s="159"/>
      <c r="BI22" s="159"/>
      <c r="BJ22" s="159"/>
      <c r="BK22" s="159"/>
      <c r="BL22" s="159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</row>
    <row r="23" spans="1:74" x14ac:dyDescent="0.2">
      <c r="A23" s="126"/>
      <c r="B23" s="126"/>
      <c r="C23" s="126"/>
      <c r="D23" s="126"/>
      <c r="E23" s="262"/>
      <c r="F23" s="160">
        <f t="shared" ca="1" si="1"/>
        <v>15.4</v>
      </c>
      <c r="G23" s="174">
        <f t="shared" ca="1" si="2"/>
        <v>184</v>
      </c>
      <c r="H23" s="161">
        <f t="shared" ca="1" si="3"/>
        <v>1.62</v>
      </c>
      <c r="I23" s="168">
        <f t="shared" ca="1" si="4"/>
        <v>0.15</v>
      </c>
      <c r="J23" s="126"/>
      <c r="K23" s="158"/>
      <c r="L23" s="158"/>
      <c r="M23" s="158"/>
      <c r="N23" s="158"/>
      <c r="O23" s="158"/>
      <c r="P23" s="179"/>
      <c r="Q23" s="179"/>
      <c r="R23" s="179"/>
      <c r="S23" s="179"/>
      <c r="T23" s="179"/>
      <c r="U23" s="180"/>
      <c r="V23" s="180"/>
      <c r="W23" s="180">
        <v>12.9</v>
      </c>
      <c r="X23" s="180">
        <v>106</v>
      </c>
      <c r="Y23" s="180">
        <v>0.43</v>
      </c>
      <c r="Z23" s="180">
        <v>0.125</v>
      </c>
      <c r="AA23" s="180"/>
      <c r="AB23" s="180"/>
      <c r="AC23" s="180">
        <v>15.4</v>
      </c>
      <c r="AD23" s="180">
        <v>184</v>
      </c>
      <c r="AE23" s="180">
        <v>1.62</v>
      </c>
      <c r="AF23" s="180">
        <v>0.15</v>
      </c>
      <c r="AG23" s="180"/>
      <c r="AH23" s="180"/>
      <c r="AI23" s="180">
        <v>14.3</v>
      </c>
      <c r="AJ23" s="180">
        <v>269</v>
      </c>
      <c r="AK23" s="180">
        <v>2.65</v>
      </c>
      <c r="AL23" s="180">
        <v>0.13700000000000001</v>
      </c>
      <c r="AM23" s="180"/>
      <c r="AN23" s="180"/>
      <c r="AO23" s="180">
        <v>14.3</v>
      </c>
      <c r="AP23" s="180">
        <v>260</v>
      </c>
      <c r="AQ23" s="180">
        <v>2.5</v>
      </c>
      <c r="AR23" s="180">
        <v>0.14799999999999999</v>
      </c>
      <c r="AS23" s="180"/>
      <c r="AT23" s="180"/>
      <c r="AU23" s="180">
        <v>12.8</v>
      </c>
      <c r="AV23" s="180">
        <v>106</v>
      </c>
      <c r="AW23" s="180">
        <v>0.47199999999999998</v>
      </c>
      <c r="AX23" s="180">
        <v>0.14499999999999999</v>
      </c>
      <c r="AY23" s="180"/>
      <c r="AZ23" s="180"/>
      <c r="BA23" s="179"/>
      <c r="BB23" s="179"/>
      <c r="BC23" s="179"/>
      <c r="BD23" s="179"/>
      <c r="BE23" s="159"/>
      <c r="BF23" s="159"/>
      <c r="BG23" s="159"/>
      <c r="BH23" s="159"/>
      <c r="BI23" s="159"/>
      <c r="BJ23" s="159"/>
      <c r="BK23" s="159"/>
      <c r="BL23" s="159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</row>
    <row r="24" spans="1:74" x14ac:dyDescent="0.2">
      <c r="A24" s="126"/>
      <c r="B24" s="126"/>
      <c r="C24" s="126"/>
      <c r="D24" s="126"/>
      <c r="E24" s="262"/>
      <c r="F24" s="160">
        <f t="shared" ca="1" si="1"/>
        <v>15.4</v>
      </c>
      <c r="G24" s="174">
        <f t="shared" ca="1" si="2"/>
        <v>199</v>
      </c>
      <c r="H24" s="161">
        <f t="shared" ca="1" si="3"/>
        <v>1.66</v>
      </c>
      <c r="I24" s="168">
        <f t="shared" ca="1" si="4"/>
        <v>0.15</v>
      </c>
      <c r="J24" s="126"/>
      <c r="K24" s="158"/>
      <c r="L24" s="158"/>
      <c r="M24" s="158"/>
      <c r="N24" s="158"/>
      <c r="O24" s="158"/>
      <c r="P24" s="179"/>
      <c r="Q24" s="179"/>
      <c r="R24" s="179"/>
      <c r="S24" s="179"/>
      <c r="T24" s="179"/>
      <c r="U24" s="180"/>
      <c r="V24" s="180"/>
      <c r="W24" s="180">
        <v>12.9</v>
      </c>
      <c r="X24" s="180">
        <v>149</v>
      </c>
      <c r="Y24" s="180">
        <v>0.86</v>
      </c>
      <c r="Z24" s="180">
        <v>0.125</v>
      </c>
      <c r="AA24" s="180"/>
      <c r="AB24" s="180"/>
      <c r="AC24" s="180">
        <v>15.4</v>
      </c>
      <c r="AD24" s="180">
        <v>199</v>
      </c>
      <c r="AE24" s="180">
        <v>1.66</v>
      </c>
      <c r="AF24" s="180">
        <v>0.15</v>
      </c>
      <c r="AG24" s="180"/>
      <c r="AH24" s="180"/>
      <c r="AI24" s="180">
        <v>14.3</v>
      </c>
      <c r="AJ24" s="180">
        <v>286</v>
      </c>
      <c r="AK24" s="180">
        <v>2.98</v>
      </c>
      <c r="AL24" s="180">
        <v>0.13700000000000001</v>
      </c>
      <c r="AM24" s="180"/>
      <c r="AN24" s="180"/>
      <c r="AO24" s="180">
        <v>14.3</v>
      </c>
      <c r="AP24" s="180">
        <v>306</v>
      </c>
      <c r="AQ24" s="180">
        <v>3.6</v>
      </c>
      <c r="AR24" s="180">
        <v>0.14799999999999999</v>
      </c>
      <c r="AS24" s="180"/>
      <c r="AT24" s="180"/>
      <c r="AU24" s="180">
        <v>12.8</v>
      </c>
      <c r="AV24" s="180">
        <v>89</v>
      </c>
      <c r="AW24" s="180">
        <v>0.315</v>
      </c>
      <c r="AX24" s="180">
        <v>0.14499999999999999</v>
      </c>
      <c r="AY24" s="180"/>
      <c r="AZ24" s="180"/>
      <c r="BA24" s="179"/>
      <c r="BB24" s="179"/>
      <c r="BC24" s="179"/>
      <c r="BD24" s="179"/>
      <c r="BE24" s="159"/>
      <c r="BF24" s="159"/>
      <c r="BG24" s="159"/>
      <c r="BH24" s="159"/>
      <c r="BI24" s="159"/>
      <c r="BJ24" s="159"/>
      <c r="BK24" s="159"/>
      <c r="BL24" s="159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</row>
    <row r="25" spans="1:74" ht="13.8" thickBot="1" x14ac:dyDescent="0.25">
      <c r="A25" s="126"/>
      <c r="B25" s="126"/>
      <c r="C25" s="126"/>
      <c r="D25" s="126"/>
      <c r="E25" s="263"/>
      <c r="F25" s="169">
        <f t="shared" ca="1" si="1"/>
        <v>15.4</v>
      </c>
      <c r="G25" s="175">
        <f t="shared" ca="1" si="2"/>
        <v>210</v>
      </c>
      <c r="H25" s="170">
        <f t="shared" ca="1" si="3"/>
        <v>2</v>
      </c>
      <c r="I25" s="171">
        <f t="shared" ca="1" si="4"/>
        <v>0.15</v>
      </c>
      <c r="J25" s="126"/>
      <c r="K25" s="158"/>
      <c r="L25" s="158"/>
      <c r="M25" s="158"/>
      <c r="N25" s="158"/>
      <c r="O25" s="158"/>
      <c r="P25" s="179"/>
      <c r="Q25" s="179"/>
      <c r="R25" s="179"/>
      <c r="S25" s="179"/>
      <c r="T25" s="179"/>
      <c r="U25" s="180"/>
      <c r="V25" s="180"/>
      <c r="W25" s="180">
        <v>12.9</v>
      </c>
      <c r="X25" s="180">
        <v>89</v>
      </c>
      <c r="Y25" s="180">
        <v>0.27999999999999997</v>
      </c>
      <c r="Z25" s="180">
        <v>0.125</v>
      </c>
      <c r="AA25" s="180"/>
      <c r="AB25" s="180"/>
      <c r="AC25" s="180">
        <v>15.4</v>
      </c>
      <c r="AD25" s="180">
        <v>210</v>
      </c>
      <c r="AE25" s="180">
        <v>2</v>
      </c>
      <c r="AF25" s="180">
        <v>0.15</v>
      </c>
      <c r="AG25" s="180"/>
      <c r="AH25" s="180"/>
      <c r="AI25" s="180">
        <v>14.3</v>
      </c>
      <c r="AJ25" s="180">
        <v>205</v>
      </c>
      <c r="AK25" s="180">
        <v>1.55</v>
      </c>
      <c r="AL25" s="180">
        <v>0.13700000000000001</v>
      </c>
      <c r="AM25" s="180"/>
      <c r="AN25" s="180"/>
      <c r="AO25" s="180">
        <v>14.3</v>
      </c>
      <c r="AP25" s="180">
        <v>330</v>
      </c>
      <c r="AQ25" s="180">
        <v>4</v>
      </c>
      <c r="AR25" s="180">
        <v>0.14799999999999999</v>
      </c>
      <c r="AS25" s="180"/>
      <c r="AT25" s="180"/>
      <c r="AU25" s="180">
        <v>12.8</v>
      </c>
      <c r="AV25" s="180">
        <v>66</v>
      </c>
      <c r="AW25" s="180">
        <v>0.183</v>
      </c>
      <c r="AX25" s="180">
        <v>0.14499999999999999</v>
      </c>
      <c r="AY25" s="180"/>
      <c r="AZ25" s="180"/>
      <c r="BA25" s="179"/>
      <c r="BB25" s="179"/>
      <c r="BC25" s="179"/>
      <c r="BD25" s="179"/>
      <c r="BE25" s="159"/>
      <c r="BF25" s="159"/>
      <c r="BG25" s="159"/>
      <c r="BH25" s="159"/>
      <c r="BI25" s="159"/>
      <c r="BJ25" s="159"/>
      <c r="BK25" s="159"/>
      <c r="BL25" s="159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</row>
    <row r="26" spans="1:74" x14ac:dyDescent="0.2">
      <c r="A26" s="126"/>
      <c r="B26" s="126"/>
      <c r="C26" s="126"/>
      <c r="D26" s="126"/>
      <c r="E26" s="264" t="s">
        <v>67</v>
      </c>
      <c r="F26" s="145">
        <f t="shared" ca="1" si="1"/>
        <v>17.3</v>
      </c>
      <c r="G26" s="146">
        <f t="shared" ca="1" si="2"/>
        <v>45</v>
      </c>
      <c r="H26" s="147">
        <f t="shared" ca="1" si="3"/>
        <v>0.82</v>
      </c>
      <c r="I26" s="148">
        <f t="shared" ca="1" si="4"/>
        <v>0.13600000000000001</v>
      </c>
      <c r="J26" s="126"/>
      <c r="K26" s="158"/>
      <c r="L26" s="158"/>
      <c r="M26" s="158"/>
      <c r="N26" s="158"/>
      <c r="O26" s="158"/>
      <c r="P26" s="179"/>
      <c r="Q26" s="179"/>
      <c r="R26" s="179"/>
      <c r="S26" s="179"/>
      <c r="T26" s="179"/>
      <c r="U26" s="180"/>
      <c r="V26" s="180"/>
      <c r="W26" s="180">
        <v>14.2</v>
      </c>
      <c r="X26" s="180">
        <v>10</v>
      </c>
      <c r="Y26" s="180">
        <v>0.24</v>
      </c>
      <c r="Z26" s="180">
        <v>0.13400000000000001</v>
      </c>
      <c r="AA26" s="180"/>
      <c r="AB26" s="180"/>
      <c r="AC26" s="180">
        <v>17.3</v>
      </c>
      <c r="AD26" s="180">
        <v>45</v>
      </c>
      <c r="AE26" s="180">
        <v>0.82</v>
      </c>
      <c r="AF26" s="180">
        <v>0.13600000000000001</v>
      </c>
      <c r="AG26" s="180"/>
      <c r="AH26" s="180"/>
      <c r="AI26" s="180">
        <v>16.2</v>
      </c>
      <c r="AJ26" s="180">
        <v>26</v>
      </c>
      <c r="AK26" s="180">
        <v>0.5</v>
      </c>
      <c r="AL26" s="180">
        <v>0.13500000000000001</v>
      </c>
      <c r="AM26" s="180"/>
      <c r="AN26" s="180"/>
      <c r="AO26" s="180">
        <v>17</v>
      </c>
      <c r="AP26" s="180">
        <v>11</v>
      </c>
      <c r="AQ26" s="180">
        <v>0.1</v>
      </c>
      <c r="AR26" s="180">
        <v>0.13400000000000001</v>
      </c>
      <c r="AS26" s="180"/>
      <c r="AT26" s="180"/>
      <c r="AU26" s="180">
        <v>15</v>
      </c>
      <c r="AV26" s="180">
        <v>152</v>
      </c>
      <c r="AW26" s="180">
        <v>3.9</v>
      </c>
      <c r="AX26" s="180">
        <v>0.14000000000000001</v>
      </c>
      <c r="AY26" s="180"/>
      <c r="AZ26" s="180"/>
      <c r="BA26" s="179"/>
      <c r="BB26" s="179"/>
      <c r="BC26" s="179"/>
      <c r="BD26" s="179"/>
      <c r="BE26" s="159"/>
      <c r="BF26" s="159"/>
      <c r="BG26" s="159"/>
      <c r="BH26" s="159"/>
      <c r="BI26" s="159"/>
      <c r="BJ26" s="159"/>
      <c r="BK26" s="159"/>
      <c r="BL26" s="159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</row>
    <row r="27" spans="1:74" x14ac:dyDescent="0.2">
      <c r="A27" s="126"/>
      <c r="B27" s="126"/>
      <c r="C27" s="126"/>
      <c r="D27" s="126"/>
      <c r="E27" s="265"/>
      <c r="F27" s="149">
        <f t="shared" ca="1" si="1"/>
        <v>17.3</v>
      </c>
      <c r="G27" s="150">
        <f t="shared" ca="1" si="2"/>
        <v>61</v>
      </c>
      <c r="H27" s="151">
        <f t="shared" ca="1" si="3"/>
        <v>1.18</v>
      </c>
      <c r="I27" s="152">
        <f t="shared" ca="1" si="4"/>
        <v>0.13600000000000001</v>
      </c>
      <c r="J27" s="126"/>
      <c r="K27" s="158"/>
      <c r="L27" s="158"/>
      <c r="M27" s="158"/>
      <c r="N27" s="158"/>
      <c r="O27" s="158"/>
      <c r="P27" s="179"/>
      <c r="Q27" s="179"/>
      <c r="R27" s="179"/>
      <c r="S27" s="179"/>
      <c r="T27" s="179"/>
      <c r="U27" s="180"/>
      <c r="V27" s="180"/>
      <c r="W27" s="180">
        <v>14.2</v>
      </c>
      <c r="X27" s="180">
        <v>26</v>
      </c>
      <c r="Y27" s="180">
        <v>0.41000000000000003</v>
      </c>
      <c r="Z27" s="180">
        <v>0.13400000000000001</v>
      </c>
      <c r="AA27" s="180"/>
      <c r="AB27" s="180"/>
      <c r="AC27" s="180">
        <v>17.3</v>
      </c>
      <c r="AD27" s="180">
        <v>61</v>
      </c>
      <c r="AE27" s="180">
        <v>1.18</v>
      </c>
      <c r="AF27" s="180">
        <v>0.13600000000000001</v>
      </c>
      <c r="AG27" s="180"/>
      <c r="AH27" s="180"/>
      <c r="AI27" s="180">
        <v>16.2</v>
      </c>
      <c r="AJ27" s="180">
        <v>38</v>
      </c>
      <c r="AK27" s="180">
        <v>0.76</v>
      </c>
      <c r="AL27" s="180">
        <v>0.13500000000000001</v>
      </c>
      <c r="AM27" s="180"/>
      <c r="AN27" s="180"/>
      <c r="AO27" s="180">
        <v>17</v>
      </c>
      <c r="AP27" s="180">
        <v>31</v>
      </c>
      <c r="AQ27" s="180">
        <v>0.28999999999999998</v>
      </c>
      <c r="AR27" s="180">
        <v>0.13400000000000001</v>
      </c>
      <c r="AS27" s="180"/>
      <c r="AT27" s="180"/>
      <c r="AU27" s="180">
        <v>15</v>
      </c>
      <c r="AV27" s="180">
        <v>115</v>
      </c>
      <c r="AW27" s="180">
        <v>2.9</v>
      </c>
      <c r="AX27" s="180">
        <v>0.14000000000000001</v>
      </c>
      <c r="AY27" s="180"/>
      <c r="AZ27" s="180"/>
      <c r="BA27" s="179"/>
      <c r="BB27" s="179"/>
      <c r="BC27" s="179"/>
      <c r="BD27" s="179"/>
      <c r="BE27" s="159"/>
      <c r="BF27" s="159"/>
      <c r="BG27" s="159"/>
      <c r="BH27" s="159"/>
      <c r="BI27" s="159"/>
      <c r="BJ27" s="159"/>
      <c r="BK27" s="159"/>
      <c r="BL27" s="159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</row>
    <row r="28" spans="1:74" x14ac:dyDescent="0.2">
      <c r="A28" s="126"/>
      <c r="B28" s="126"/>
      <c r="C28" s="126"/>
      <c r="D28" s="126"/>
      <c r="E28" s="265"/>
      <c r="F28" s="149">
        <f t="shared" ca="1" si="1"/>
        <v>17.3</v>
      </c>
      <c r="G28" s="150">
        <f t="shared" ca="1" si="2"/>
        <v>88</v>
      </c>
      <c r="H28" s="151">
        <f t="shared" ca="1" si="3"/>
        <v>1.65</v>
      </c>
      <c r="I28" s="152">
        <f t="shared" ca="1" si="4"/>
        <v>0.13600000000000001</v>
      </c>
      <c r="J28" s="126"/>
      <c r="K28" s="158"/>
      <c r="L28" s="158"/>
      <c r="M28" s="158"/>
      <c r="N28" s="158"/>
      <c r="O28" s="158"/>
      <c r="P28" s="179"/>
      <c r="Q28" s="179"/>
      <c r="R28" s="179"/>
      <c r="S28" s="179"/>
      <c r="T28" s="179"/>
      <c r="U28" s="180"/>
      <c r="V28" s="180"/>
      <c r="W28" s="180">
        <v>14.2</v>
      </c>
      <c r="X28" s="180">
        <v>39</v>
      </c>
      <c r="Y28" s="180">
        <v>0.62</v>
      </c>
      <c r="Z28" s="180">
        <v>0.13400000000000001</v>
      </c>
      <c r="AA28" s="180"/>
      <c r="AB28" s="180"/>
      <c r="AC28" s="180">
        <v>17.3</v>
      </c>
      <c r="AD28" s="180">
        <v>88</v>
      </c>
      <c r="AE28" s="180">
        <v>1.65</v>
      </c>
      <c r="AF28" s="180">
        <v>0.13600000000000001</v>
      </c>
      <c r="AG28" s="180"/>
      <c r="AH28" s="180"/>
      <c r="AI28" s="180">
        <v>16.2</v>
      </c>
      <c r="AJ28" s="180">
        <v>48</v>
      </c>
      <c r="AK28" s="180">
        <v>0.95</v>
      </c>
      <c r="AL28" s="180">
        <v>0.13500000000000001</v>
      </c>
      <c r="AM28" s="180"/>
      <c r="AN28" s="180"/>
      <c r="AO28" s="180">
        <v>17</v>
      </c>
      <c r="AP28" s="180">
        <v>68</v>
      </c>
      <c r="AQ28" s="180">
        <v>0.72</v>
      </c>
      <c r="AR28" s="180">
        <v>0.13400000000000001</v>
      </c>
      <c r="AS28" s="180"/>
      <c r="AT28" s="180"/>
      <c r="AU28" s="180">
        <v>15</v>
      </c>
      <c r="AV28" s="180">
        <v>124</v>
      </c>
      <c r="AW28" s="180">
        <v>3.2</v>
      </c>
      <c r="AX28" s="180">
        <v>0.14000000000000001</v>
      </c>
      <c r="AY28" s="180"/>
      <c r="AZ28" s="180"/>
      <c r="BA28" s="179"/>
      <c r="BB28" s="179"/>
      <c r="BC28" s="179"/>
      <c r="BD28" s="179"/>
      <c r="BE28" s="159"/>
      <c r="BF28" s="159"/>
      <c r="BG28" s="159"/>
      <c r="BH28" s="159"/>
      <c r="BI28" s="159"/>
      <c r="BJ28" s="159"/>
      <c r="BK28" s="159"/>
      <c r="BL28" s="159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</row>
    <row r="29" spans="1:74" x14ac:dyDescent="0.2">
      <c r="A29" s="126"/>
      <c r="B29" s="126"/>
      <c r="C29" s="126"/>
      <c r="D29" s="126"/>
      <c r="E29" s="265"/>
      <c r="F29" s="149">
        <f t="shared" ca="1" si="1"/>
        <v>17.3</v>
      </c>
      <c r="G29" s="150">
        <f t="shared" ca="1" si="2"/>
        <v>109</v>
      </c>
      <c r="H29" s="151">
        <f t="shared" ca="1" si="3"/>
        <v>2.23</v>
      </c>
      <c r="I29" s="152">
        <f t="shared" ca="1" si="4"/>
        <v>0.13600000000000001</v>
      </c>
      <c r="J29" s="126"/>
      <c r="K29" s="158"/>
      <c r="L29" s="158"/>
      <c r="M29" s="158"/>
      <c r="N29" s="158"/>
      <c r="O29" s="158"/>
      <c r="P29" s="179"/>
      <c r="Q29" s="179"/>
      <c r="R29" s="179"/>
      <c r="S29" s="179"/>
      <c r="T29" s="179"/>
      <c r="U29" s="180"/>
      <c r="V29" s="180"/>
      <c r="W29" s="180">
        <v>14.2</v>
      </c>
      <c r="X29" s="180">
        <v>53</v>
      </c>
      <c r="Y29" s="180">
        <v>0.85000000000000009</v>
      </c>
      <c r="Z29" s="180">
        <v>0.13400000000000001</v>
      </c>
      <c r="AA29" s="180"/>
      <c r="AB29" s="180"/>
      <c r="AC29" s="180">
        <v>17.3</v>
      </c>
      <c r="AD29" s="180">
        <v>109</v>
      </c>
      <c r="AE29" s="180">
        <v>2.23</v>
      </c>
      <c r="AF29" s="180">
        <v>0.13600000000000001</v>
      </c>
      <c r="AG29" s="180"/>
      <c r="AH29" s="180"/>
      <c r="AI29" s="180">
        <v>16.2</v>
      </c>
      <c r="AJ29" s="180">
        <v>71</v>
      </c>
      <c r="AK29" s="180">
        <v>1.3</v>
      </c>
      <c r="AL29" s="180">
        <v>0.13500000000000001</v>
      </c>
      <c r="AM29" s="180"/>
      <c r="AN29" s="180"/>
      <c r="AO29" s="180">
        <v>17</v>
      </c>
      <c r="AP29" s="180">
        <v>103</v>
      </c>
      <c r="AQ29" s="180">
        <v>1.3</v>
      </c>
      <c r="AR29" s="180">
        <v>0.13400000000000001</v>
      </c>
      <c r="AS29" s="180"/>
      <c r="AT29" s="180"/>
      <c r="AU29" s="180">
        <v>15</v>
      </c>
      <c r="AV29" s="180">
        <v>170</v>
      </c>
      <c r="AW29" s="180">
        <v>4.7</v>
      </c>
      <c r="AX29" s="180">
        <v>0.14000000000000001</v>
      </c>
      <c r="AY29" s="180"/>
      <c r="AZ29" s="180"/>
      <c r="BA29" s="179"/>
      <c r="BB29" s="179"/>
      <c r="BC29" s="179"/>
      <c r="BD29" s="179"/>
      <c r="BE29" s="159"/>
      <c r="BF29" s="159"/>
      <c r="BG29" s="159"/>
      <c r="BH29" s="159"/>
      <c r="BI29" s="159"/>
      <c r="BJ29" s="159"/>
      <c r="BK29" s="159"/>
      <c r="BL29" s="159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</row>
    <row r="30" spans="1:74" x14ac:dyDescent="0.2">
      <c r="A30" s="126"/>
      <c r="B30" s="126"/>
      <c r="C30" s="126"/>
      <c r="D30" s="126"/>
      <c r="E30" s="265"/>
      <c r="F30" s="149">
        <f t="shared" ca="1" si="1"/>
        <v>17.3</v>
      </c>
      <c r="G30" s="150">
        <f t="shared" ca="1" si="2"/>
        <v>122</v>
      </c>
      <c r="H30" s="151">
        <f t="shared" ca="1" si="3"/>
        <v>2.5099999999999998</v>
      </c>
      <c r="I30" s="152">
        <f t="shared" ca="1" si="4"/>
        <v>0.13600000000000001</v>
      </c>
      <c r="J30" s="126"/>
      <c r="K30" s="158"/>
      <c r="L30" s="158"/>
      <c r="M30" s="158"/>
      <c r="N30" s="158"/>
      <c r="O30" s="158"/>
      <c r="P30" s="179"/>
      <c r="Q30" s="179"/>
      <c r="R30" s="179"/>
      <c r="S30" s="179"/>
      <c r="T30" s="179"/>
      <c r="U30" s="180"/>
      <c r="V30" s="180"/>
      <c r="W30" s="180">
        <v>14.2</v>
      </c>
      <c r="X30" s="180">
        <v>85</v>
      </c>
      <c r="Y30" s="180">
        <v>1.41</v>
      </c>
      <c r="Z30" s="180">
        <v>0.13400000000000001</v>
      </c>
      <c r="AA30" s="180"/>
      <c r="AB30" s="180"/>
      <c r="AC30" s="180">
        <v>17.3</v>
      </c>
      <c r="AD30" s="180">
        <v>122</v>
      </c>
      <c r="AE30" s="180">
        <v>2.5099999999999998</v>
      </c>
      <c r="AF30" s="180">
        <v>0.13600000000000001</v>
      </c>
      <c r="AG30" s="180"/>
      <c r="AH30" s="180"/>
      <c r="AI30" s="180">
        <v>16.2</v>
      </c>
      <c r="AJ30" s="180">
        <v>90</v>
      </c>
      <c r="AK30" s="180">
        <v>1.7999999999999998</v>
      </c>
      <c r="AL30" s="180">
        <v>0.13500000000000001</v>
      </c>
      <c r="AM30" s="180"/>
      <c r="AN30" s="180"/>
      <c r="AO30" s="180">
        <v>17</v>
      </c>
      <c r="AP30" s="180">
        <v>133</v>
      </c>
      <c r="AQ30" s="180">
        <v>1.9</v>
      </c>
      <c r="AR30" s="180">
        <v>0.13400000000000001</v>
      </c>
      <c r="AS30" s="180"/>
      <c r="AT30" s="180"/>
      <c r="AU30" s="180">
        <v>15</v>
      </c>
      <c r="AV30" s="180">
        <v>77</v>
      </c>
      <c r="AW30" s="180">
        <v>1.9</v>
      </c>
      <c r="AX30" s="180">
        <v>0.14000000000000001</v>
      </c>
      <c r="AY30" s="180"/>
      <c r="AZ30" s="180"/>
      <c r="BA30" s="179"/>
      <c r="BB30" s="179"/>
      <c r="BC30" s="179"/>
      <c r="BD30" s="179"/>
      <c r="BE30" s="159"/>
      <c r="BF30" s="159"/>
      <c r="BG30" s="159"/>
      <c r="BH30" s="159"/>
      <c r="BI30" s="159"/>
      <c r="BJ30" s="159"/>
      <c r="BK30" s="159"/>
      <c r="BL30" s="159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</row>
    <row r="31" spans="1:74" x14ac:dyDescent="0.2">
      <c r="A31" s="126"/>
      <c r="B31" s="126"/>
      <c r="C31" s="126"/>
      <c r="D31" s="126"/>
      <c r="E31" s="265"/>
      <c r="F31" s="149">
        <f t="shared" ca="1" si="1"/>
        <v>17.3</v>
      </c>
      <c r="G31" s="150">
        <f t="shared" ca="1" si="2"/>
        <v>139</v>
      </c>
      <c r="H31" s="151">
        <f t="shared" ca="1" si="3"/>
        <v>2.93</v>
      </c>
      <c r="I31" s="152">
        <f t="shared" ca="1" si="4"/>
        <v>0.13600000000000001</v>
      </c>
      <c r="J31" s="126"/>
      <c r="K31" s="158"/>
      <c r="L31" s="158"/>
      <c r="M31" s="158"/>
      <c r="N31" s="158"/>
      <c r="O31" s="158"/>
      <c r="P31" s="179"/>
      <c r="Q31" s="179"/>
      <c r="R31" s="179"/>
      <c r="S31" s="179"/>
      <c r="T31" s="179"/>
      <c r="U31" s="180"/>
      <c r="V31" s="180"/>
      <c r="W31" s="180">
        <v>14.2</v>
      </c>
      <c r="X31" s="180">
        <v>137</v>
      </c>
      <c r="Y31" s="180">
        <v>2.52</v>
      </c>
      <c r="Z31" s="180">
        <v>0.13400000000000001</v>
      </c>
      <c r="AA31" s="180"/>
      <c r="AB31" s="180"/>
      <c r="AC31" s="180">
        <v>17.3</v>
      </c>
      <c r="AD31" s="180">
        <v>139</v>
      </c>
      <c r="AE31" s="180">
        <v>2.93</v>
      </c>
      <c r="AF31" s="180">
        <v>0.13600000000000001</v>
      </c>
      <c r="AG31" s="180"/>
      <c r="AH31" s="180"/>
      <c r="AI31" s="180">
        <v>16.2</v>
      </c>
      <c r="AJ31" s="180">
        <v>120</v>
      </c>
      <c r="AK31" s="180">
        <v>2.4899999999999998</v>
      </c>
      <c r="AL31" s="180">
        <v>0.13500000000000001</v>
      </c>
      <c r="AM31" s="180"/>
      <c r="AN31" s="180"/>
      <c r="AO31" s="180">
        <v>17</v>
      </c>
      <c r="AP31" s="180">
        <v>164</v>
      </c>
      <c r="AQ31" s="180">
        <v>2.7</v>
      </c>
      <c r="AR31" s="180">
        <v>0.13400000000000001</v>
      </c>
      <c r="AS31" s="180"/>
      <c r="AT31" s="180"/>
      <c r="AU31" s="180">
        <v>15</v>
      </c>
      <c r="AV31" s="180">
        <v>138</v>
      </c>
      <c r="AW31" s="180">
        <v>3.4</v>
      </c>
      <c r="AX31" s="180">
        <v>0.14000000000000001</v>
      </c>
      <c r="AY31" s="180"/>
      <c r="AZ31" s="180"/>
      <c r="BA31" s="179"/>
      <c r="BB31" s="179"/>
      <c r="BC31" s="179"/>
      <c r="BD31" s="179"/>
      <c r="BE31" s="159"/>
      <c r="BF31" s="159"/>
      <c r="BG31" s="159"/>
      <c r="BH31" s="159"/>
      <c r="BI31" s="159"/>
      <c r="BJ31" s="159"/>
      <c r="BK31" s="159"/>
      <c r="BL31" s="159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</row>
    <row r="32" spans="1:74" x14ac:dyDescent="0.2">
      <c r="A32" s="126"/>
      <c r="B32" s="126"/>
      <c r="C32" s="126"/>
      <c r="D32" s="126"/>
      <c r="E32" s="265"/>
      <c r="F32" s="149">
        <f t="shared" ca="1" si="1"/>
        <v>17.3</v>
      </c>
      <c r="G32" s="150">
        <f t="shared" ca="1" si="2"/>
        <v>159</v>
      </c>
      <c r="H32" s="151">
        <f t="shared" ca="1" si="3"/>
        <v>3.5</v>
      </c>
      <c r="I32" s="152">
        <f t="shared" ca="1" si="4"/>
        <v>0.13600000000000001</v>
      </c>
      <c r="J32" s="126"/>
      <c r="K32" s="158"/>
      <c r="L32" s="158"/>
      <c r="M32" s="158"/>
      <c r="N32" s="158"/>
      <c r="O32" s="158"/>
      <c r="P32" s="179"/>
      <c r="Q32" s="179"/>
      <c r="R32" s="179"/>
      <c r="S32" s="179"/>
      <c r="T32" s="179"/>
      <c r="U32" s="180"/>
      <c r="V32" s="180"/>
      <c r="W32" s="180">
        <v>14.2</v>
      </c>
      <c r="X32" s="180">
        <v>195</v>
      </c>
      <c r="Y32" s="180">
        <v>4.43</v>
      </c>
      <c r="Z32" s="180">
        <v>0.13400000000000001</v>
      </c>
      <c r="AA32" s="180"/>
      <c r="AB32" s="180"/>
      <c r="AC32" s="180">
        <v>17.3</v>
      </c>
      <c r="AD32" s="180">
        <v>159</v>
      </c>
      <c r="AE32" s="180">
        <v>3.5</v>
      </c>
      <c r="AF32" s="180">
        <v>0.13600000000000001</v>
      </c>
      <c r="AG32" s="180"/>
      <c r="AH32" s="180"/>
      <c r="AI32" s="180">
        <v>16.2</v>
      </c>
      <c r="AJ32" s="180">
        <v>133</v>
      </c>
      <c r="AK32" s="180">
        <v>3.08</v>
      </c>
      <c r="AL32" s="180">
        <v>0.13500000000000001</v>
      </c>
      <c r="AM32" s="180"/>
      <c r="AN32" s="180"/>
      <c r="AO32" s="180">
        <v>17</v>
      </c>
      <c r="AP32" s="180">
        <v>190</v>
      </c>
      <c r="AQ32" s="180">
        <v>3.4</v>
      </c>
      <c r="AR32" s="180">
        <v>0.13400000000000001</v>
      </c>
      <c r="AS32" s="180"/>
      <c r="AT32" s="180"/>
      <c r="AU32" s="180">
        <v>15</v>
      </c>
      <c r="AV32" s="180">
        <v>261</v>
      </c>
      <c r="AW32" s="180">
        <v>8.3000000000000007</v>
      </c>
      <c r="AX32" s="180">
        <v>0.14000000000000001</v>
      </c>
      <c r="AY32" s="180"/>
      <c r="AZ32" s="180"/>
      <c r="BA32" s="179"/>
      <c r="BB32" s="179"/>
      <c r="BC32" s="179"/>
      <c r="BD32" s="179"/>
      <c r="BE32" s="159"/>
      <c r="BF32" s="159"/>
      <c r="BG32" s="159"/>
      <c r="BH32" s="159"/>
      <c r="BI32" s="159"/>
      <c r="BJ32" s="159"/>
      <c r="BK32" s="159"/>
      <c r="BL32" s="159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</row>
    <row r="33" spans="1:74" x14ac:dyDescent="0.2">
      <c r="A33" s="126"/>
      <c r="B33" s="126"/>
      <c r="C33" s="126"/>
      <c r="D33" s="126"/>
      <c r="E33" s="265"/>
      <c r="F33" s="149">
        <f t="shared" ca="1" si="1"/>
        <v>17.3</v>
      </c>
      <c r="G33" s="150">
        <f t="shared" ca="1" si="2"/>
        <v>197</v>
      </c>
      <c r="H33" s="151">
        <f t="shared" ca="1" si="3"/>
        <v>4.5199999999999996</v>
      </c>
      <c r="I33" s="152">
        <f t="shared" ca="1" si="4"/>
        <v>0.13600000000000001</v>
      </c>
      <c r="J33" s="126"/>
      <c r="K33" s="158"/>
      <c r="L33" s="158"/>
      <c r="M33" s="158"/>
      <c r="N33" s="158"/>
      <c r="O33" s="158"/>
      <c r="P33" s="179"/>
      <c r="Q33" s="179"/>
      <c r="R33" s="179"/>
      <c r="S33" s="179"/>
      <c r="T33" s="179"/>
      <c r="U33" s="180"/>
      <c r="V33" s="180"/>
      <c r="W33" s="180">
        <v>14.2</v>
      </c>
      <c r="X33" s="180">
        <v>212</v>
      </c>
      <c r="Y33" s="180">
        <v>4.9000000000000004</v>
      </c>
      <c r="Z33" s="180">
        <v>0.13400000000000001</v>
      </c>
      <c r="AA33" s="180"/>
      <c r="AB33" s="180"/>
      <c r="AC33" s="180">
        <v>17.3</v>
      </c>
      <c r="AD33" s="180">
        <v>197</v>
      </c>
      <c r="AE33" s="180">
        <v>4.5199999999999996</v>
      </c>
      <c r="AF33" s="180">
        <v>0.13600000000000001</v>
      </c>
      <c r="AG33" s="180"/>
      <c r="AH33" s="180"/>
      <c r="AI33" s="180">
        <v>16.2</v>
      </c>
      <c r="AJ33" s="180">
        <v>158</v>
      </c>
      <c r="AK33" s="180">
        <v>3.7600000000000002</v>
      </c>
      <c r="AL33" s="180">
        <v>0.13500000000000001</v>
      </c>
      <c r="AM33" s="180"/>
      <c r="AN33" s="180"/>
      <c r="AO33" s="180">
        <v>17</v>
      </c>
      <c r="AP33" s="180">
        <v>223</v>
      </c>
      <c r="AQ33" s="180">
        <v>4.3</v>
      </c>
      <c r="AR33" s="180">
        <v>0.13400000000000001</v>
      </c>
      <c r="AS33" s="180"/>
      <c r="AT33" s="180"/>
      <c r="AU33" s="180">
        <v>15</v>
      </c>
      <c r="AV33" s="180">
        <v>228</v>
      </c>
      <c r="AW33" s="180">
        <v>6.5</v>
      </c>
      <c r="AX33" s="180">
        <v>0.14000000000000001</v>
      </c>
      <c r="AY33" s="180"/>
      <c r="AZ33" s="180"/>
      <c r="BA33" s="179"/>
      <c r="BB33" s="179"/>
      <c r="BC33" s="179"/>
      <c r="BD33" s="179"/>
      <c r="BE33" s="159"/>
      <c r="BF33" s="159"/>
      <c r="BG33" s="159"/>
      <c r="BH33" s="159"/>
      <c r="BI33" s="159"/>
      <c r="BJ33" s="159"/>
      <c r="BK33" s="159"/>
      <c r="BL33" s="159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</row>
    <row r="34" spans="1:74" x14ac:dyDescent="0.2">
      <c r="A34" s="126"/>
      <c r="B34" s="126"/>
      <c r="C34" s="126"/>
      <c r="D34" s="126"/>
      <c r="E34" s="265"/>
      <c r="F34" s="149">
        <f t="shared" ca="1" si="1"/>
        <v>17.3</v>
      </c>
      <c r="G34" s="150">
        <f t="shared" ca="1" si="2"/>
        <v>237</v>
      </c>
      <c r="H34" s="151">
        <f t="shared" ca="1" si="3"/>
        <v>6.42</v>
      </c>
      <c r="I34" s="152">
        <f t="shared" ca="1" si="4"/>
        <v>0.13600000000000001</v>
      </c>
      <c r="J34" s="126"/>
      <c r="K34" s="158"/>
      <c r="L34" s="158"/>
      <c r="M34" s="158"/>
      <c r="N34" s="158"/>
      <c r="O34" s="158"/>
      <c r="P34" s="179"/>
      <c r="Q34" s="179"/>
      <c r="R34" s="179"/>
      <c r="S34" s="179"/>
      <c r="T34" s="179"/>
      <c r="U34" s="180"/>
      <c r="V34" s="180"/>
      <c r="W34" s="180">
        <v>14.2</v>
      </c>
      <c r="X34" s="180">
        <v>283</v>
      </c>
      <c r="Y34" s="180">
        <v>7.75</v>
      </c>
      <c r="Z34" s="180">
        <v>0.13400000000000001</v>
      </c>
      <c r="AA34" s="180"/>
      <c r="AB34" s="180"/>
      <c r="AC34" s="180">
        <v>17.3</v>
      </c>
      <c r="AD34" s="180">
        <v>237</v>
      </c>
      <c r="AE34" s="180">
        <v>6.42</v>
      </c>
      <c r="AF34" s="180">
        <v>0.13600000000000001</v>
      </c>
      <c r="AG34" s="180"/>
      <c r="AH34" s="180"/>
      <c r="AI34" s="180">
        <v>16.2</v>
      </c>
      <c r="AJ34" s="180">
        <v>174</v>
      </c>
      <c r="AK34" s="180">
        <v>4.0199999999999996</v>
      </c>
      <c r="AL34" s="180">
        <v>0.13500000000000001</v>
      </c>
      <c r="AM34" s="180"/>
      <c r="AN34" s="180"/>
      <c r="AO34" s="180">
        <v>17</v>
      </c>
      <c r="AP34" s="180">
        <v>303</v>
      </c>
      <c r="AQ34" s="180">
        <v>7</v>
      </c>
      <c r="AR34" s="180">
        <v>0.13400000000000001</v>
      </c>
      <c r="AS34" s="180"/>
      <c r="AT34" s="180"/>
      <c r="AU34" s="180">
        <v>15</v>
      </c>
      <c r="AV34" s="180">
        <v>199</v>
      </c>
      <c r="AW34" s="180">
        <v>5.5</v>
      </c>
      <c r="AX34" s="180">
        <v>0.14000000000000001</v>
      </c>
      <c r="AY34" s="180"/>
      <c r="AZ34" s="180"/>
      <c r="BA34" s="179"/>
      <c r="BB34" s="179"/>
      <c r="BC34" s="179"/>
      <c r="BD34" s="179"/>
      <c r="BE34" s="159"/>
      <c r="BF34" s="159"/>
      <c r="BG34" s="159"/>
      <c r="BH34" s="159"/>
      <c r="BI34" s="159"/>
      <c r="BJ34" s="159"/>
      <c r="BK34" s="159"/>
      <c r="BL34" s="159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</row>
    <row r="35" spans="1:74" ht="13.8" thickBot="1" x14ac:dyDescent="0.25">
      <c r="A35" s="126"/>
      <c r="B35" s="126"/>
      <c r="C35" s="126"/>
      <c r="D35" s="126"/>
      <c r="E35" s="266"/>
      <c r="F35" s="153">
        <f t="shared" ca="1" si="1"/>
        <v>17.3</v>
      </c>
      <c r="G35" s="154">
        <f t="shared" ca="1" si="2"/>
        <v>287</v>
      </c>
      <c r="H35" s="155">
        <f t="shared" ca="1" si="3"/>
        <v>8.0299999999999994</v>
      </c>
      <c r="I35" s="156">
        <f t="shared" ca="1" si="4"/>
        <v>0.13600000000000001</v>
      </c>
      <c r="J35" s="126"/>
      <c r="K35" s="158"/>
      <c r="L35" s="158"/>
      <c r="M35" s="158"/>
      <c r="N35" s="158"/>
      <c r="O35" s="158"/>
      <c r="P35" s="179"/>
      <c r="Q35" s="179"/>
      <c r="R35" s="179"/>
      <c r="S35" s="179"/>
      <c r="T35" s="179"/>
      <c r="U35" s="180"/>
      <c r="V35" s="180"/>
      <c r="W35" s="180">
        <v>14.2</v>
      </c>
      <c r="X35" s="180">
        <v>327</v>
      </c>
      <c r="Y35" s="180">
        <v>9.6</v>
      </c>
      <c r="Z35" s="180">
        <v>0.13400000000000001</v>
      </c>
      <c r="AA35" s="180"/>
      <c r="AB35" s="180"/>
      <c r="AC35" s="180">
        <v>17.3</v>
      </c>
      <c r="AD35" s="180">
        <v>287</v>
      </c>
      <c r="AE35" s="180">
        <v>8.0299999999999994</v>
      </c>
      <c r="AF35" s="180">
        <v>0.13600000000000001</v>
      </c>
      <c r="AG35" s="180"/>
      <c r="AH35" s="180"/>
      <c r="AI35" s="180">
        <v>16.2</v>
      </c>
      <c r="AJ35" s="180">
        <v>203</v>
      </c>
      <c r="AK35" s="180">
        <v>5.2</v>
      </c>
      <c r="AL35" s="180">
        <v>0.13500000000000001</v>
      </c>
      <c r="AM35" s="180"/>
      <c r="AN35" s="180"/>
      <c r="AO35" s="180">
        <v>17</v>
      </c>
      <c r="AP35" s="180">
        <v>353</v>
      </c>
      <c r="AQ35" s="180">
        <v>9.1</v>
      </c>
      <c r="AR35" s="180">
        <v>0.13400000000000001</v>
      </c>
      <c r="AS35" s="180"/>
      <c r="AT35" s="180"/>
      <c r="AU35" s="180">
        <v>15</v>
      </c>
      <c r="AV35" s="180">
        <v>41</v>
      </c>
      <c r="AW35" s="180">
        <v>0.95</v>
      </c>
      <c r="AX35" s="180">
        <v>0.14000000000000001</v>
      </c>
      <c r="AY35" s="180"/>
      <c r="AZ35" s="180"/>
      <c r="BA35" s="179"/>
      <c r="BB35" s="179"/>
      <c r="BC35" s="179"/>
      <c r="BD35" s="179"/>
      <c r="BE35" s="159"/>
      <c r="BF35" s="159"/>
      <c r="BG35" s="159"/>
      <c r="BH35" s="159"/>
      <c r="BI35" s="159"/>
      <c r="BJ35" s="159"/>
      <c r="BK35" s="159"/>
      <c r="BL35" s="159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</row>
    <row r="36" spans="1:74" x14ac:dyDescent="0.2">
      <c r="A36" s="126"/>
      <c r="B36" s="126"/>
      <c r="C36" s="126"/>
      <c r="D36" s="126"/>
      <c r="E36" s="126"/>
      <c r="F36" s="157"/>
      <c r="G36" s="157"/>
      <c r="H36" s="157"/>
      <c r="I36" s="157"/>
      <c r="J36" s="126"/>
      <c r="K36" s="158"/>
      <c r="L36" s="158"/>
      <c r="M36" s="158"/>
      <c r="N36" s="158"/>
      <c r="O36" s="158"/>
      <c r="P36" s="179"/>
      <c r="Q36" s="179"/>
      <c r="R36" s="179"/>
      <c r="S36" s="179"/>
      <c r="T36" s="179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59"/>
      <c r="BF36" s="159"/>
      <c r="BG36" s="159"/>
      <c r="BH36" s="159"/>
      <c r="BI36" s="159"/>
      <c r="BJ36" s="159"/>
      <c r="BK36" s="159"/>
      <c r="BL36" s="159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</row>
    <row r="37" spans="1:74" x14ac:dyDescent="0.2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58"/>
      <c r="L37" s="158"/>
      <c r="M37" s="158"/>
      <c r="N37" s="158"/>
      <c r="O37" s="158"/>
      <c r="P37" s="179"/>
      <c r="Q37" s="179"/>
      <c r="R37" s="179"/>
      <c r="S37" s="179"/>
      <c r="T37" s="179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159"/>
      <c r="BF37" s="159"/>
      <c r="BG37" s="159"/>
      <c r="BH37" s="159"/>
      <c r="BI37" s="159"/>
      <c r="BJ37" s="159"/>
      <c r="BK37" s="159"/>
      <c r="BL37" s="159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</row>
    <row r="38" spans="1:74" x14ac:dyDescent="0.2">
      <c r="K38" s="158"/>
      <c r="L38" s="158"/>
      <c r="M38" s="158"/>
      <c r="N38" s="158"/>
      <c r="O38" s="158"/>
      <c r="P38" s="179"/>
      <c r="Q38" s="179"/>
      <c r="R38" s="179"/>
      <c r="S38" s="179"/>
      <c r="T38" s="179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59"/>
      <c r="BF38" s="159"/>
      <c r="BG38" s="159"/>
      <c r="BH38" s="159"/>
      <c r="BI38" s="159"/>
      <c r="BJ38" s="159"/>
      <c r="BK38" s="159"/>
      <c r="BL38" s="159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</row>
    <row r="39" spans="1:74" x14ac:dyDescent="0.2">
      <c r="K39" s="158"/>
      <c r="L39" s="158"/>
      <c r="M39" s="158"/>
      <c r="N39" s="158"/>
      <c r="O39" s="158"/>
      <c r="P39" s="179"/>
      <c r="Q39" s="179"/>
      <c r="R39" s="179"/>
      <c r="S39" s="179"/>
      <c r="T39" s="179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59"/>
      <c r="BF39" s="159"/>
      <c r="BG39" s="159"/>
      <c r="BH39" s="159"/>
      <c r="BI39" s="159"/>
      <c r="BJ39" s="159"/>
      <c r="BK39" s="159"/>
      <c r="BL39" s="159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</row>
    <row r="40" spans="1:74" x14ac:dyDescent="0.2">
      <c r="K40" s="158"/>
      <c r="L40" s="158"/>
      <c r="M40" s="158"/>
      <c r="N40" s="158"/>
      <c r="O40" s="158"/>
      <c r="P40" s="179"/>
      <c r="Q40" s="179"/>
      <c r="R40" s="179"/>
      <c r="S40" s="179"/>
      <c r="T40" s="179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59"/>
      <c r="BF40" s="159"/>
      <c r="BG40" s="159"/>
      <c r="BH40" s="159"/>
      <c r="BI40" s="159"/>
      <c r="BJ40" s="159"/>
      <c r="BK40" s="159"/>
      <c r="BL40" s="159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</row>
    <row r="41" spans="1:74" x14ac:dyDescent="0.2">
      <c r="K41" s="158"/>
      <c r="L41" s="158"/>
      <c r="M41" s="158"/>
      <c r="N41" s="158"/>
      <c r="O41" s="158"/>
      <c r="P41" s="179"/>
      <c r="Q41" s="179"/>
      <c r="R41" s="179"/>
      <c r="S41" s="179"/>
      <c r="T41" s="179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59"/>
      <c r="BF41" s="159"/>
      <c r="BG41" s="159"/>
      <c r="BH41" s="159"/>
      <c r="BI41" s="159"/>
      <c r="BJ41" s="159"/>
      <c r="BK41" s="159"/>
      <c r="BL41" s="159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</row>
    <row r="42" spans="1:74" x14ac:dyDescent="0.2">
      <c r="K42" s="158"/>
      <c r="L42" s="158"/>
      <c r="M42" s="158"/>
      <c r="N42" s="158"/>
      <c r="O42" s="158"/>
      <c r="P42" s="179"/>
      <c r="Q42" s="179"/>
      <c r="R42" s="179"/>
      <c r="S42" s="179"/>
      <c r="T42" s="179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59"/>
      <c r="BF42" s="159"/>
      <c r="BG42" s="159"/>
      <c r="BH42" s="159"/>
      <c r="BI42" s="159"/>
      <c r="BJ42" s="159"/>
      <c r="BK42" s="159"/>
      <c r="BL42" s="159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</row>
    <row r="43" spans="1:74" x14ac:dyDescent="0.2">
      <c r="K43" s="158"/>
      <c r="L43" s="158"/>
      <c r="M43" s="158"/>
      <c r="N43" s="158"/>
      <c r="O43" s="158"/>
      <c r="P43" s="179"/>
      <c r="Q43" s="179"/>
      <c r="R43" s="179"/>
      <c r="S43" s="179"/>
      <c r="T43" s="179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59"/>
      <c r="BF43" s="159"/>
      <c r="BG43" s="159"/>
      <c r="BH43" s="159"/>
      <c r="BI43" s="159"/>
      <c r="BJ43" s="159"/>
      <c r="BK43" s="159"/>
      <c r="BL43" s="159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</row>
    <row r="44" spans="1:74" x14ac:dyDescent="0.2">
      <c r="K44" s="158"/>
      <c r="L44" s="158"/>
      <c r="M44" s="158"/>
      <c r="N44" s="158"/>
      <c r="O44" s="158"/>
      <c r="P44" s="179"/>
      <c r="Q44" s="179"/>
      <c r="R44" s="179"/>
      <c r="S44" s="179"/>
      <c r="T44" s="179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59"/>
      <c r="BF44" s="159"/>
      <c r="BG44" s="159"/>
      <c r="BH44" s="159"/>
      <c r="BI44" s="159"/>
      <c r="BJ44" s="159"/>
      <c r="BK44" s="159"/>
      <c r="BL44" s="159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</row>
    <row r="45" spans="1:74" x14ac:dyDescent="0.2">
      <c r="K45" s="158"/>
      <c r="L45" s="158"/>
      <c r="M45" s="158"/>
      <c r="N45" s="158"/>
      <c r="O45" s="158"/>
      <c r="P45" s="179"/>
      <c r="Q45" s="179"/>
      <c r="R45" s="179"/>
      <c r="S45" s="179"/>
      <c r="T45" s="179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59"/>
      <c r="BF45" s="159"/>
      <c r="BG45" s="159"/>
      <c r="BH45" s="159"/>
      <c r="BI45" s="159"/>
      <c r="BJ45" s="159"/>
      <c r="BK45" s="159"/>
      <c r="BL45" s="159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</row>
    <row r="46" spans="1:74" x14ac:dyDescent="0.2">
      <c r="K46" s="158"/>
      <c r="L46" s="158"/>
      <c r="M46" s="158"/>
      <c r="N46" s="158"/>
      <c r="O46" s="158"/>
      <c r="P46" s="179"/>
      <c r="Q46" s="179"/>
      <c r="R46" s="179"/>
      <c r="S46" s="179"/>
      <c r="T46" s="179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59"/>
      <c r="BF46" s="159"/>
      <c r="BG46" s="159"/>
      <c r="BH46" s="159"/>
      <c r="BI46" s="159"/>
      <c r="BJ46" s="159"/>
      <c r="BK46" s="159"/>
      <c r="BL46" s="159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</row>
    <row r="47" spans="1:74" x14ac:dyDescent="0.2">
      <c r="K47" s="158"/>
      <c r="L47" s="158"/>
      <c r="M47" s="158"/>
      <c r="N47" s="158"/>
      <c r="O47" s="158"/>
      <c r="P47" s="179"/>
      <c r="Q47" s="179"/>
      <c r="R47" s="179"/>
      <c r="S47" s="179"/>
      <c r="T47" s="179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159"/>
      <c r="BF47" s="159"/>
      <c r="BG47" s="159"/>
      <c r="BH47" s="159"/>
      <c r="BI47" s="159"/>
      <c r="BJ47" s="159"/>
      <c r="BK47" s="159"/>
      <c r="BL47" s="159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</row>
    <row r="48" spans="1:74" x14ac:dyDescent="0.2">
      <c r="K48" s="158"/>
      <c r="L48" s="158"/>
      <c r="M48" s="158"/>
      <c r="N48" s="158"/>
      <c r="O48" s="158"/>
      <c r="P48" s="179"/>
      <c r="Q48" s="179"/>
      <c r="R48" s="179"/>
      <c r="S48" s="179"/>
      <c r="T48" s="179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59"/>
      <c r="BF48" s="159"/>
      <c r="BG48" s="159"/>
      <c r="BH48" s="159"/>
      <c r="BI48" s="159"/>
      <c r="BJ48" s="159"/>
      <c r="BK48" s="159"/>
      <c r="BL48" s="159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</row>
    <row r="49" spans="11:74" x14ac:dyDescent="0.2">
      <c r="K49" s="158"/>
      <c r="L49" s="158"/>
      <c r="M49" s="158"/>
      <c r="N49" s="158"/>
      <c r="O49" s="158"/>
      <c r="P49" s="179"/>
      <c r="Q49" s="179"/>
      <c r="R49" s="179"/>
      <c r="S49" s="179"/>
      <c r="T49" s="179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59"/>
      <c r="BF49" s="159"/>
      <c r="BG49" s="159"/>
      <c r="BH49" s="159"/>
      <c r="BI49" s="159"/>
      <c r="BJ49" s="159"/>
      <c r="BK49" s="159"/>
      <c r="BL49" s="159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</row>
    <row r="50" spans="11:74" x14ac:dyDescent="0.2">
      <c r="K50" s="158"/>
      <c r="L50" s="158"/>
      <c r="M50" s="158"/>
      <c r="N50" s="158"/>
      <c r="O50" s="158"/>
      <c r="P50" s="179"/>
      <c r="Q50" s="179"/>
      <c r="R50" s="179"/>
      <c r="S50" s="179"/>
      <c r="T50" s="179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59"/>
      <c r="BF50" s="159"/>
      <c r="BG50" s="159"/>
      <c r="BH50" s="159"/>
      <c r="BI50" s="159"/>
      <c r="BJ50" s="159"/>
      <c r="BK50" s="159"/>
      <c r="BL50" s="159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</row>
    <row r="51" spans="11:74" x14ac:dyDescent="0.2"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</row>
  </sheetData>
  <sheetProtection sheet="1" objects="1" scenarios="1"/>
  <mergeCells count="4">
    <mergeCell ref="F2:H2"/>
    <mergeCell ref="E6:E15"/>
    <mergeCell ref="E16:E25"/>
    <mergeCell ref="E26:E35"/>
  </mergeCells>
  <phoneticPr fontId="20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課題１</vt:lpstr>
      <vt:lpstr>課題３</vt:lpstr>
      <vt:lpstr>槽内流れ_レポート用</vt:lpstr>
      <vt:lpstr>レポートデータ出力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</dc:creator>
  <cp:lastModifiedBy>io</cp:lastModifiedBy>
  <dcterms:created xsi:type="dcterms:W3CDTF">2012-04-11T06:52:45Z</dcterms:created>
  <dcterms:modified xsi:type="dcterms:W3CDTF">2020-06-06T22:10:58Z</dcterms:modified>
</cp:coreProperties>
</file>