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-12" yWindow="132" windowWidth="11928" windowHeight="8952"/>
  </bookViews>
  <sheets>
    <sheet name="Output network" sheetId="24" r:id="rId1"/>
    <sheet name="Output network (2)" sheetId="26" r:id="rId2"/>
    <sheet name="Input network" sheetId="25" r:id="rId3"/>
  </sheets>
  <definedNames>
    <definedName name="a">'Input network'!$G$11</definedName>
    <definedName name="b">'Input network'!$G$13</definedName>
    <definedName name="Cdaco" localSheetId="1">'Output network (2)'!$O$10</definedName>
    <definedName name="Cdaco">'Output network'!$N$10</definedName>
    <definedName name="EnDisSelection" localSheetId="1">#REF!</definedName>
    <definedName name="EnDisSelection">#REF!</definedName>
    <definedName name="R_99" localSheetId="1">'Output network (2)'!#REF!</definedName>
    <definedName name="R_99">'Output network'!#REF!</definedName>
    <definedName name="Rdaco1" localSheetId="1">'Output network (2)'!$M$10</definedName>
    <definedName name="Rdaco1">'Output network'!$L$10</definedName>
    <definedName name="Rdaco2" localSheetId="1">'Output network (2)'!$N$10</definedName>
    <definedName name="Rdaco2">'Output network'!$M$10</definedName>
    <definedName name="Rdaco2s" localSheetId="1">'Output network (2)'!$N$11</definedName>
    <definedName name="Rdaco2s">'Output network'!$M$11</definedName>
    <definedName name="Rdaco2ss" localSheetId="1">'Output network (2)'!$N$12</definedName>
    <definedName name="Rdaco2ss">'Output network'!$M$12</definedName>
    <definedName name="Rfbin2">'Input network'!$C$13</definedName>
    <definedName name="Rfbout1" localSheetId="1">'Output network (2)'!$J$10</definedName>
    <definedName name="Rfbout1">'Output network'!$J$10</definedName>
    <definedName name="Rfbout1a" localSheetId="1">'Output network (2)'!$J$10</definedName>
    <definedName name="Rfbout1a">'Output network (2)'!$J$10</definedName>
    <definedName name="Rfbout1b" localSheetId="1">'Output network (2)'!$K$10</definedName>
    <definedName name="Rfbout1b">'Output network'!#REF!</definedName>
    <definedName name="Rfbout1s" localSheetId="1">'Output network (2)'!$J$11</definedName>
    <definedName name="Rfbout1s">'Output network'!$J$11</definedName>
    <definedName name="Rfbout1ss" localSheetId="1">'Output network (2)'!$J$12</definedName>
    <definedName name="Rfbout1ss">'Output network'!$J$12</definedName>
    <definedName name="Rfbout2" localSheetId="1">'Output network (2)'!$L$10</definedName>
    <definedName name="Rfbout2">'Output network'!$K$10</definedName>
    <definedName name="TempRangeSelect" localSheetId="1">#REF!</definedName>
    <definedName name="TempRangeSelect">#REF!</definedName>
    <definedName name="Vdac">'Input network'!$C$6</definedName>
    <definedName name="Vfbin">'Input network'!$C$7</definedName>
    <definedName name="Vfbor" localSheetId="1">'Output network (2)'!#REF!</definedName>
    <definedName name="Vfbor">'Output network'!#REF!</definedName>
    <definedName name="Vfbout" localSheetId="1">'Output network (2)'!$C$17</definedName>
    <definedName name="Vfbout">'Output network'!$C$17</definedName>
    <definedName name="Vfbow" localSheetId="0">'Output network'!$C$18</definedName>
    <definedName name="Vfbow" localSheetId="1">'Output network (2)'!$C$18</definedName>
    <definedName name="Vfbow">'Output network'!#REF!</definedName>
    <definedName name="Vinmin">'Input network'!$C$8</definedName>
    <definedName name="Vmax">'Input network'!$C$5</definedName>
    <definedName name="Vout" localSheetId="1">'Output network (2)'!$H$10</definedName>
    <definedName name="Vout">'Output network'!$H$10</definedName>
    <definedName name="X" localSheetId="1">'Output network (2)'!$C$8</definedName>
    <definedName name="X">'Output network'!$C$8</definedName>
    <definedName name="Xss" localSheetId="1">'Output network (2)'!$C$12</definedName>
    <definedName name="Xss">'Output network'!$C$12</definedName>
  </definedNames>
  <calcPr calcId="125725"/>
</workbook>
</file>

<file path=xl/calcChain.xml><?xml version="1.0" encoding="utf-8"?>
<calcChain xmlns="http://schemas.openxmlformats.org/spreadsheetml/2006/main">
  <c r="H34" i="25"/>
  <c r="C29"/>
  <c r="C30" s="1"/>
  <c r="H28"/>
  <c r="C17"/>
  <c r="C22"/>
  <c r="C21"/>
  <c r="K10" i="26"/>
  <c r="K12" s="1"/>
  <c r="C23"/>
  <c r="C22"/>
  <c r="L12"/>
  <c r="I12"/>
  <c r="L11"/>
  <c r="I11"/>
  <c r="M10"/>
  <c r="M12" s="1"/>
  <c r="C23" i="24"/>
  <c r="F6" i="25"/>
  <c r="H6" s="1"/>
  <c r="J6" s="1"/>
  <c r="E14" l="1"/>
  <c r="N10" i="26"/>
  <c r="N12" s="1"/>
  <c r="J12" s="1"/>
  <c r="K11"/>
  <c r="C15" i="25"/>
  <c r="O10" i="26"/>
  <c r="O11" s="1"/>
  <c r="M11"/>
  <c r="K6" i="25"/>
  <c r="G6" s="1"/>
  <c r="I6" s="1"/>
  <c r="C22" i="24"/>
  <c r="I12"/>
  <c r="I11"/>
  <c r="K12"/>
  <c r="K11"/>
  <c r="N11" i="26" l="1"/>
  <c r="J11" s="1"/>
  <c r="C16" i="25"/>
  <c r="C9"/>
  <c r="C10" s="1"/>
  <c r="J10" i="26"/>
  <c r="C12"/>
  <c r="H12" s="1"/>
  <c r="O12"/>
  <c r="L10" i="24"/>
  <c r="H5" i="26" l="1"/>
  <c r="C13"/>
  <c r="C8"/>
  <c r="C9" s="1"/>
  <c r="C14"/>
  <c r="C15"/>
  <c r="L12" i="24"/>
  <c r="L11"/>
  <c r="M10"/>
  <c r="J10" s="1"/>
  <c r="N10"/>
  <c r="H11" i="26" l="1"/>
  <c r="C10"/>
  <c r="C11"/>
  <c r="N11" i="24"/>
  <c r="N12"/>
  <c r="M11"/>
  <c r="J11" s="1"/>
  <c r="H5" s="1"/>
  <c r="M12"/>
  <c r="J12" s="1"/>
  <c r="C8" l="1"/>
  <c r="C10" s="1"/>
  <c r="C12"/>
  <c r="C14" s="1"/>
  <c r="C9" l="1"/>
  <c r="C11"/>
  <c r="C15"/>
  <c r="H12"/>
  <c r="C13"/>
  <c r="H11"/>
</calcChain>
</file>

<file path=xl/comments1.xml><?xml version="1.0" encoding="utf-8"?>
<comments xmlns="http://schemas.openxmlformats.org/spreadsheetml/2006/main">
  <authors>
    <author>Mathew Wich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Maximum Open-Circuit Panel Voltage or Maximum Input Voltage, whichever is higher.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Actual VMAX if you use the "Suggested Network Values" below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Actual VINMIN if you use the "Suggested Network Values" below. Keep this at 6V or greater.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Open circuit voltage at room temp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Minimum panel temperature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Should be at or above desired V</t>
        </r>
        <r>
          <rPr>
            <b/>
            <vertAlign val="subscript"/>
            <sz val="9"/>
            <color indexed="81"/>
            <rFont val="Tahoma"/>
            <family val="2"/>
          </rPr>
          <t>MAX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Should be as close to 6V as possible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Maximum panel temperature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Actual panel temperature for max power calculation</t>
        </r>
      </text>
    </comment>
  </commentList>
</comments>
</file>

<file path=xl/sharedStrings.xml><?xml version="1.0" encoding="utf-8"?>
<sst xmlns="http://schemas.openxmlformats.org/spreadsheetml/2006/main" count="177" uniqueCount="87">
  <si>
    <t>input</t>
  </si>
  <si>
    <t>E96</t>
  </si>
  <si>
    <t>E192</t>
  </si>
  <si>
    <t>Rfbin1s</t>
  </si>
  <si>
    <t>Rfbin1_Vmax</t>
  </si>
  <si>
    <t>Rfbin1_Vmin</t>
  </si>
  <si>
    <t>suggested</t>
  </si>
  <si>
    <t>Temp</t>
  </si>
  <si>
    <t>I</t>
  </si>
  <si>
    <t>Watts</t>
  </si>
  <si>
    <t>User Inputs</t>
  </si>
  <si>
    <t>Standard Value Calculator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</si>
  <si>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F</t>
    </r>
  </si>
  <si>
    <r>
      <t>k</t>
    </r>
    <r>
      <rPr>
        <sz val="11"/>
        <color theme="1"/>
        <rFont val="Symbol"/>
        <family val="1"/>
        <charset val="2"/>
      </rPr>
      <t>W</t>
    </r>
  </si>
  <si>
    <r>
      <t>R</t>
    </r>
    <r>
      <rPr>
        <vertAlign val="subscript"/>
        <sz val="11"/>
        <color theme="1"/>
        <rFont val="Calibri"/>
        <family val="2"/>
        <scheme val="minor"/>
      </rPr>
      <t>FBIN2</t>
    </r>
  </si>
  <si>
    <r>
      <t>R</t>
    </r>
    <r>
      <rPr>
        <vertAlign val="subscript"/>
        <sz val="11"/>
        <color theme="1"/>
        <rFont val="Calibri"/>
        <family val="2"/>
        <scheme val="minor"/>
      </rPr>
      <t>FBIN1</t>
    </r>
  </si>
  <si>
    <r>
      <t>R</t>
    </r>
    <r>
      <rPr>
        <vertAlign val="subscript"/>
        <sz val="11"/>
        <color theme="1"/>
        <rFont val="Calibri"/>
        <family val="2"/>
        <scheme val="minor"/>
      </rPr>
      <t>DACI1</t>
    </r>
  </si>
  <si>
    <r>
      <t>R</t>
    </r>
    <r>
      <rPr>
        <vertAlign val="subscript"/>
        <sz val="11"/>
        <color theme="1"/>
        <rFont val="Calibri"/>
        <family val="2"/>
        <scheme val="minor"/>
      </rPr>
      <t>DACI2</t>
    </r>
  </si>
  <si>
    <r>
      <t>R</t>
    </r>
    <r>
      <rPr>
        <vertAlign val="subscript"/>
        <sz val="11"/>
        <color theme="1"/>
        <rFont val="Calibri"/>
        <family val="2"/>
        <scheme val="minor"/>
      </rPr>
      <t>DACI1</t>
    </r>
    <r>
      <rPr>
        <sz val="11"/>
        <color theme="1"/>
        <rFont val="Calibri"/>
        <family val="2"/>
        <scheme val="minor"/>
      </rPr>
      <t xml:space="preserve"> + R</t>
    </r>
    <r>
      <rPr>
        <vertAlign val="subscript"/>
        <sz val="11"/>
        <color theme="1"/>
        <rFont val="Calibri"/>
        <family val="2"/>
        <scheme val="minor"/>
      </rPr>
      <t>DACI2</t>
    </r>
  </si>
  <si>
    <r>
      <t>V</t>
    </r>
    <r>
      <rPr>
        <vertAlign val="subscript"/>
        <sz val="11"/>
        <color theme="1"/>
        <rFont val="Calibri"/>
        <family val="2"/>
        <scheme val="minor"/>
      </rPr>
      <t>FBIN</t>
    </r>
  </si>
  <si>
    <r>
      <t>V</t>
    </r>
    <r>
      <rPr>
        <vertAlign val="subscript"/>
        <sz val="11"/>
        <color theme="1"/>
        <rFont val="Calibri"/>
        <family val="2"/>
        <scheme val="minor"/>
      </rPr>
      <t>INMIN</t>
    </r>
  </si>
  <si>
    <r>
      <t>V</t>
    </r>
    <r>
      <rPr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</si>
  <si>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DAC</t>
    </r>
  </si>
  <si>
    <r>
      <t>C</t>
    </r>
    <r>
      <rPr>
        <vertAlign val="subscript"/>
        <sz val="11"/>
        <color theme="1"/>
        <rFont val="Calibri"/>
        <family val="2"/>
        <scheme val="minor"/>
      </rPr>
      <t>DACI</t>
    </r>
  </si>
  <si>
    <t>Calculated Intermediate Result</t>
  </si>
  <si>
    <t>Manual Checker of Chosen Resistor Values</t>
  </si>
  <si>
    <t>V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</si>
  <si>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</si>
  <si>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%/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</si>
  <si>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A</t>
  </si>
  <si>
    <r>
      <t>P</t>
    </r>
    <r>
      <rPr>
        <vertAlign val="subscript"/>
        <sz val="11"/>
        <color theme="1"/>
        <rFont val="Calibri"/>
        <family val="2"/>
        <scheme val="minor"/>
      </rPr>
      <t>MPP</t>
    </r>
  </si>
  <si>
    <r>
      <t>V</t>
    </r>
    <r>
      <rPr>
        <vertAlign val="subscript"/>
        <sz val="11"/>
        <color theme="1"/>
        <rFont val="Calibri"/>
        <family val="2"/>
        <scheme val="minor"/>
      </rPr>
      <t>MPP</t>
    </r>
    <r>
      <rPr>
        <sz val="11"/>
        <color theme="1"/>
        <rFont val="Calibri"/>
        <family val="2"/>
        <scheme val="minor"/>
      </rPr>
      <t xml:space="preserve"> @ 25C</t>
    </r>
  </si>
  <si>
    <t>Voc @ Cold</t>
  </si>
  <si>
    <r>
      <t>TC_V</t>
    </r>
    <r>
      <rPr>
        <vertAlign val="subscript"/>
        <sz val="11"/>
        <color theme="1"/>
        <rFont val="Calibri"/>
        <family val="2"/>
        <scheme val="minor"/>
      </rPr>
      <t>MPP</t>
    </r>
  </si>
  <si>
    <r>
      <t>Min T</t>
    </r>
    <r>
      <rPr>
        <vertAlign val="subscript"/>
        <sz val="11"/>
        <color theme="1"/>
        <rFont val="Calibri"/>
        <family val="2"/>
        <scheme val="minor"/>
      </rPr>
      <t>PANEL</t>
    </r>
  </si>
  <si>
    <r>
      <t>Max T</t>
    </r>
    <r>
      <rPr>
        <vertAlign val="subscript"/>
        <sz val="11"/>
        <color theme="1"/>
        <rFont val="Calibri"/>
        <family val="2"/>
        <scheme val="minor"/>
      </rPr>
      <t>PANEL</t>
    </r>
  </si>
  <si>
    <r>
      <t>V</t>
    </r>
    <r>
      <rPr>
        <vertAlign val="subscript"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@ 25C</t>
    </r>
  </si>
  <si>
    <r>
      <t>TC_V</t>
    </r>
    <r>
      <rPr>
        <vertAlign val="subscript"/>
        <sz val="11"/>
        <color theme="1"/>
        <rFont val="Calibri"/>
        <family val="2"/>
        <scheme val="minor"/>
      </rPr>
      <t>OC</t>
    </r>
  </si>
  <si>
    <t>Panel Calculator</t>
  </si>
  <si>
    <r>
      <t>R</t>
    </r>
    <r>
      <rPr>
        <vertAlign val="subscript"/>
        <sz val="11"/>
        <color theme="1"/>
        <rFont val="Calibri"/>
        <family val="2"/>
        <scheme val="minor"/>
      </rPr>
      <t>FBIN2</t>
    </r>
    <r>
      <rPr>
        <sz val="11"/>
        <color theme="1"/>
        <rFont val="Calibri"/>
        <family val="2"/>
        <scheme val="minor"/>
      </rPr>
      <t xml:space="preserve"> (R54)</t>
    </r>
  </si>
  <si>
    <r>
      <t>R</t>
    </r>
    <r>
      <rPr>
        <vertAlign val="subscript"/>
        <sz val="11"/>
        <color theme="1"/>
        <rFont val="Calibri"/>
        <family val="2"/>
        <scheme val="minor"/>
      </rPr>
      <t>DACI1</t>
    </r>
    <r>
      <rPr>
        <sz val="11"/>
        <color theme="1"/>
        <rFont val="Calibri"/>
        <family val="2"/>
        <scheme val="minor"/>
      </rPr>
      <t xml:space="preserve"> (R63)</t>
    </r>
  </si>
  <si>
    <r>
      <t>R</t>
    </r>
    <r>
      <rPr>
        <vertAlign val="subscript"/>
        <sz val="11"/>
        <color theme="1"/>
        <rFont val="Calibri"/>
        <family val="2"/>
        <scheme val="minor"/>
      </rPr>
      <t>DACI2</t>
    </r>
    <r>
      <rPr>
        <sz val="11"/>
        <color theme="1"/>
        <rFont val="Calibri"/>
        <family val="2"/>
        <scheme val="minor"/>
      </rPr>
      <t xml:space="preserve"> (R55)</t>
    </r>
  </si>
  <si>
    <r>
      <t>R</t>
    </r>
    <r>
      <rPr>
        <vertAlign val="subscript"/>
        <sz val="11"/>
        <color theme="1"/>
        <rFont val="Calibri"/>
        <family val="2"/>
        <scheme val="minor"/>
      </rPr>
      <t>FBIN1</t>
    </r>
    <r>
      <rPr>
        <sz val="11"/>
        <color theme="1"/>
        <rFont val="Calibri"/>
        <family val="2"/>
        <scheme val="minor"/>
      </rPr>
      <t xml:space="preserve"> (R68)</t>
    </r>
  </si>
  <si>
    <t>Suggested Network Values</t>
  </si>
  <si>
    <r>
      <t>V</t>
    </r>
    <r>
      <rPr>
        <vertAlign val="subscript"/>
        <sz val="11"/>
        <color theme="1"/>
        <rFont val="Calibri"/>
        <family val="2"/>
        <scheme val="minor"/>
      </rPr>
      <t>X1</t>
    </r>
  </si>
  <si>
    <r>
      <t>V</t>
    </r>
    <r>
      <rPr>
        <vertAlign val="subscript"/>
        <sz val="11"/>
        <color theme="1"/>
        <rFont val="Calibri"/>
        <family val="2"/>
        <scheme val="minor"/>
      </rPr>
      <t>X2</t>
    </r>
  </si>
  <si>
    <r>
      <t>Actual V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</si>
  <si>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Actual V</t>
    </r>
    <r>
      <rPr>
        <vertAlign val="subscript"/>
        <sz val="11"/>
        <color theme="1"/>
        <rFont val="Calibri"/>
        <family val="2"/>
        <scheme val="minor"/>
      </rPr>
      <t>INMIN</t>
    </r>
  </si>
  <si>
    <t>Calculated Primary Result</t>
  </si>
  <si>
    <r>
      <t>V</t>
    </r>
    <r>
      <rPr>
        <vertAlign val="subscript"/>
        <sz val="11"/>
        <color theme="1"/>
        <rFont val="Calibri"/>
        <family val="2"/>
        <scheme val="minor"/>
      </rPr>
      <t>FBOUT</t>
    </r>
  </si>
  <si>
    <r>
      <t>V</t>
    </r>
    <r>
      <rPr>
        <vertAlign val="subscript"/>
        <sz val="11"/>
        <color theme="1"/>
        <rFont val="Calibri"/>
        <family val="2"/>
        <scheme val="minor"/>
      </rPr>
      <t>FBOW</t>
    </r>
  </si>
  <si>
    <t>R99</t>
  </si>
  <si>
    <t>R13</t>
  </si>
  <si>
    <t>R16</t>
  </si>
  <si>
    <t>R73</t>
  </si>
  <si>
    <t>R71</t>
  </si>
  <si>
    <t>C68</t>
  </si>
  <si>
    <t>(Volts)</t>
  </si>
  <si>
    <t>(kΩ)</t>
  </si>
  <si>
    <t>&lt;-- Datasheet Names</t>
  </si>
  <si>
    <t>&lt;-- DC2069A Names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</si>
  <si>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S2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</si>
  <si>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FBOUT1</t>
    </r>
    <r>
      <rPr>
        <b/>
        <sz val="11"/>
        <color theme="1"/>
        <rFont val="Calibri"/>
        <family val="2"/>
        <scheme val="minor"/>
      </rPr>
      <t xml:space="preserve">            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</si>
  <si>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FBOUT2</t>
    </r>
    <r>
      <rPr>
        <b/>
        <sz val="11"/>
        <color theme="1"/>
        <rFont val="Calibri"/>
        <family val="2"/>
        <scheme val="minor"/>
      </rPr>
      <t xml:space="preserve">            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</si>
  <si>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DACO1</t>
    </r>
    <r>
      <rPr>
        <b/>
        <sz val="11"/>
        <color theme="1"/>
        <rFont val="Calibri"/>
        <family val="2"/>
        <scheme val="minor"/>
      </rPr>
      <t xml:space="preserve">             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</si>
  <si>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DACO2</t>
    </r>
    <r>
      <rPr>
        <b/>
        <sz val="11"/>
        <color theme="1"/>
        <rFont val="Calibri"/>
        <family val="2"/>
        <scheme val="minor"/>
      </rPr>
      <t xml:space="preserve">             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</si>
  <si>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DACO</t>
    </r>
    <r>
      <rPr>
        <b/>
        <sz val="11"/>
        <color theme="1"/>
        <rFont val="Calibri"/>
        <family val="2"/>
        <scheme val="minor"/>
      </rPr>
      <t xml:space="preserve">            </t>
    </r>
  </si>
  <si>
    <r>
      <t>(k</t>
    </r>
    <r>
      <rPr>
        <b/>
        <sz val="11"/>
        <color theme="1"/>
        <rFont val="Calibri"/>
        <family val="2"/>
      </rPr>
      <t>Ω)</t>
    </r>
  </si>
  <si>
    <r>
      <t>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F)</t>
    </r>
  </si>
  <si>
    <t>&lt;-- Using E96 Standard values</t>
  </si>
  <si>
    <t>&lt;-- Using E192 Standard values</t>
  </si>
  <si>
    <t>&lt;-- Ideal Values</t>
  </si>
  <si>
    <t>Calculated using E96 Standard Values</t>
  </si>
  <si>
    <t>Other Calculated Values</t>
  </si>
  <si>
    <t>Calculated using E192 Standard Values</t>
  </si>
  <si>
    <t>Input</t>
  </si>
  <si>
    <t>Check Computed Values</t>
  </si>
  <si>
    <t xml:space="preserve">X </t>
  </si>
  <si>
    <r>
      <t>V</t>
    </r>
    <r>
      <rPr>
        <vertAlign val="subscript"/>
        <sz val="11"/>
        <color theme="1"/>
        <rFont val="Calibri"/>
        <family val="2"/>
        <scheme val="minor"/>
      </rPr>
      <t>X3</t>
    </r>
  </si>
  <si>
    <t>N1</t>
  </si>
  <si>
    <t>N2</t>
  </si>
  <si>
    <t>X</t>
  </si>
  <si>
    <r>
      <t>V</t>
    </r>
    <r>
      <rPr>
        <vertAlign val="subscript"/>
        <sz val="11"/>
        <color theme="0"/>
        <rFont val="Calibri"/>
        <family val="2"/>
        <scheme val="minor"/>
      </rPr>
      <t>X3</t>
    </r>
  </si>
  <si>
    <t>R13a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</si>
  <si>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FBOUT1b</t>
    </r>
    <r>
      <rPr>
        <b/>
        <sz val="11"/>
        <color theme="1"/>
        <rFont val="Calibri"/>
        <family val="2"/>
        <scheme val="minor"/>
      </rPr>
      <t xml:space="preserve">             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</si>
  <si>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FBOUT1a</t>
    </r>
    <r>
      <rPr>
        <b/>
        <sz val="11"/>
        <color theme="1"/>
        <rFont val="Calibri"/>
        <family val="2"/>
        <scheme val="minor"/>
      </rPr>
      <t xml:space="preserve">           </t>
    </r>
  </si>
  <si>
    <t>R13b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</si>
</sst>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vertAlign val="subscript"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0" fontId="0" fillId="0" borderId="0" xfId="0" applyFill="1" applyBorder="1" applyProtection="1"/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3" xfId="0" applyFill="1" applyBorder="1"/>
    <xf numFmtId="0" fontId="0" fillId="0" borderId="18" xfId="0" applyBorder="1"/>
    <xf numFmtId="0" fontId="0" fillId="0" borderId="15" xfId="0" applyBorder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distributed" wrapText="1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0" applyFill="1" applyBorder="1" applyProtection="1">
      <protection locked="0"/>
    </xf>
    <xf numFmtId="0" fontId="0" fillId="0" borderId="20" xfId="0" applyFill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2" borderId="28" xfId="0" applyFill="1" applyBorder="1" applyProtection="1">
      <protection locked="0"/>
    </xf>
    <xf numFmtId="0" fontId="0" fillId="0" borderId="11" xfId="0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11" xfId="0" applyBorder="1"/>
    <xf numFmtId="2" fontId="0" fillId="0" borderId="0" xfId="0" applyNumberForma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9" xfId="0" applyBorder="1"/>
    <xf numFmtId="0" fontId="0" fillId="0" borderId="9" xfId="0" applyFill="1" applyBorder="1" applyProtection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/>
    <xf numFmtId="0" fontId="0" fillId="0" borderId="28" xfId="0" applyFill="1" applyBorder="1" applyProtection="1"/>
    <xf numFmtId="0" fontId="0" fillId="0" borderId="11" xfId="0" applyFill="1" applyBorder="1" applyProtection="1"/>
    <xf numFmtId="0" fontId="0" fillId="0" borderId="2" xfId="0" applyFill="1" applyBorder="1" applyProtection="1"/>
    <xf numFmtId="0" fontId="0" fillId="0" borderId="15" xfId="0" applyFill="1" applyBorder="1" applyProtection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/>
    <xf numFmtId="165" fontId="0" fillId="0" borderId="0" xfId="0" applyNumberFormat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2" fontId="0" fillId="2" borderId="10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2" fillId="0" borderId="0" xfId="0" applyFont="1" applyBorder="1" applyAlignment="1"/>
    <xf numFmtId="2" fontId="0" fillId="4" borderId="28" xfId="0" applyNumberForma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5" borderId="12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165" fontId="0" fillId="5" borderId="1" xfId="0" applyNumberFormat="1" applyFill="1" applyBorder="1"/>
    <xf numFmtId="164" fontId="0" fillId="5" borderId="1" xfId="0" applyNumberFormat="1" applyFill="1" applyBorder="1"/>
    <xf numFmtId="165" fontId="10" fillId="6" borderId="1" xfId="0" applyNumberFormat="1" applyFont="1" applyFill="1" applyBorder="1"/>
    <xf numFmtId="164" fontId="10" fillId="6" borderId="1" xfId="0" applyNumberFormat="1" applyFont="1" applyFill="1" applyBorder="1"/>
    <xf numFmtId="164" fontId="10" fillId="6" borderId="14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5" borderId="10" xfId="0" applyFill="1" applyBorder="1" applyAlignment="1">
      <alignment horizontal="right"/>
    </xf>
    <xf numFmtId="165" fontId="0" fillId="5" borderId="28" xfId="0" applyNumberFormat="1" applyFill="1" applyBorder="1"/>
    <xf numFmtId="165" fontId="0" fillId="5" borderId="11" xfId="0" applyNumberFormat="1" applyFill="1" applyBorder="1"/>
    <xf numFmtId="0" fontId="0" fillId="5" borderId="12" xfId="0" applyFill="1" applyBorder="1" applyAlignment="1">
      <alignment horizontal="right"/>
    </xf>
    <xf numFmtId="165" fontId="0" fillId="5" borderId="13" xfId="0" applyNumberFormat="1" applyFill="1" applyBorder="1"/>
    <xf numFmtId="0" fontId="10" fillId="6" borderId="12" xfId="0" applyFont="1" applyFill="1" applyBorder="1" applyAlignment="1">
      <alignment horizontal="right"/>
    </xf>
    <xf numFmtId="165" fontId="10" fillId="6" borderId="13" xfId="0" applyNumberFormat="1" applyFont="1" applyFill="1" applyBorder="1"/>
    <xf numFmtId="0" fontId="10" fillId="6" borderId="14" xfId="0" applyFont="1" applyFill="1" applyBorder="1" applyAlignment="1">
      <alignment horizontal="right"/>
    </xf>
    <xf numFmtId="165" fontId="10" fillId="6" borderId="2" xfId="0" applyNumberFormat="1" applyFont="1" applyFill="1" applyBorder="1"/>
    <xf numFmtId="165" fontId="10" fillId="6" borderId="15" xfId="0" applyNumberFormat="1" applyFont="1" applyFill="1" applyBorder="1"/>
    <xf numFmtId="164" fontId="0" fillId="4" borderId="14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right"/>
    </xf>
    <xf numFmtId="2" fontId="10" fillId="6" borderId="2" xfId="0" applyNumberFormat="1" applyFont="1" applyFill="1" applyBorder="1" applyAlignment="1">
      <alignment horizontal="right"/>
    </xf>
    <xf numFmtId="0" fontId="10" fillId="6" borderId="1" xfId="0" applyFont="1" applyFill="1" applyBorder="1"/>
    <xf numFmtId="164" fontId="10" fillId="6" borderId="2" xfId="0" applyNumberFormat="1" applyFont="1" applyFill="1" applyBorder="1"/>
    <xf numFmtId="2" fontId="10" fillId="6" borderId="1" xfId="0" applyNumberFormat="1" applyFont="1" applyFill="1" applyBorder="1"/>
    <xf numFmtId="2" fontId="10" fillId="6" borderId="2" xfId="0" applyNumberFormat="1" applyFont="1" applyFill="1" applyBorder="1"/>
    <xf numFmtId="166" fontId="10" fillId="6" borderId="17" xfId="0" applyNumberFormat="1" applyFont="1" applyFill="1" applyBorder="1"/>
    <xf numFmtId="164" fontId="0" fillId="0" borderId="28" xfId="0" applyNumberFormat="1" applyFill="1" applyBorder="1" applyProtection="1"/>
    <xf numFmtId="0" fontId="0" fillId="0" borderId="0" xfId="0" applyFill="1" applyBorder="1" applyAlignment="1" applyProtection="1">
      <alignment horizontal="center"/>
    </xf>
    <xf numFmtId="164" fontId="0" fillId="0" borderId="0" xfId="0" applyNumberFormat="1" applyFill="1" applyBorder="1" applyAlignment="1"/>
    <xf numFmtId="0" fontId="10" fillId="0" borderId="0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0" fillId="6" borderId="19" xfId="0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10" fillId="6" borderId="1" xfId="0" applyNumberFormat="1" applyFont="1" applyFill="1" applyBorder="1" applyAlignment="1">
      <alignment horizontal="right"/>
    </xf>
    <xf numFmtId="164" fontId="0" fillId="5" borderId="28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left"/>
    </xf>
    <xf numFmtId="164" fontId="0" fillId="5" borderId="13" xfId="0" applyNumberFormat="1" applyFill="1" applyBorder="1" applyAlignment="1">
      <alignment horizontal="left"/>
    </xf>
    <xf numFmtId="164" fontId="10" fillId="6" borderId="13" xfId="0" applyNumberFormat="1" applyFont="1" applyFill="1" applyBorder="1" applyAlignment="1">
      <alignment horizontal="left"/>
    </xf>
    <xf numFmtId="164" fontId="10" fillId="6" borderId="2" xfId="0" applyNumberFormat="1" applyFont="1" applyFill="1" applyBorder="1" applyAlignment="1">
      <alignment horizontal="right"/>
    </xf>
    <xf numFmtId="164" fontId="10" fillId="6" borderId="15" xfId="0" applyNumberFormat="1" applyFont="1" applyFill="1" applyBorder="1" applyAlignment="1">
      <alignment horizontal="left"/>
    </xf>
    <xf numFmtId="164" fontId="10" fillId="6" borderId="3" xfId="0" applyNumberFormat="1" applyFont="1" applyFill="1" applyBorder="1" applyAlignment="1">
      <alignment horizontal="right"/>
    </xf>
    <xf numFmtId="164" fontId="10" fillId="6" borderId="20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15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2" fontId="0" fillId="5" borderId="12" xfId="0" applyNumberFormat="1" applyFill="1" applyBorder="1" applyAlignment="1">
      <alignment horizontal="center"/>
    </xf>
    <xf numFmtId="2" fontId="10" fillId="6" borderId="14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10" fillId="6" borderId="4" xfId="0" applyNumberFormat="1" applyFont="1" applyFill="1" applyBorder="1" applyAlignment="1">
      <alignment horizontal="center"/>
    </xf>
    <xf numFmtId="165" fontId="10" fillId="6" borderId="9" xfId="0" applyNumberFormat="1" applyFont="1" applyFill="1" applyBorder="1" applyAlignment="1">
      <alignment horizontal="center"/>
    </xf>
    <xf numFmtId="165" fontId="10" fillId="6" borderId="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2" fontId="1" fillId="5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9" fillId="6" borderId="1" xfId="0" applyNumberFormat="1" applyFont="1" applyFill="1" applyBorder="1" applyAlignment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1" fillId="0" borderId="29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5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2" fontId="9" fillId="6" borderId="6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8" fillId="0" borderId="21" xfId="0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FE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23</xdr:row>
      <xdr:rowOff>142875</xdr:rowOff>
    </xdr:from>
    <xdr:to>
      <xdr:col>7</xdr:col>
      <xdr:colOff>166576</xdr:colOff>
      <xdr:row>36</xdr:row>
      <xdr:rowOff>9525</xdr:rowOff>
    </xdr:to>
    <xdr:pic>
      <xdr:nvPicPr>
        <xdr:cNvPr id="2" name="Picture 1" descr="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9626" y="4619625"/>
          <a:ext cx="3300300" cy="2343150"/>
        </a:xfrm>
        <a:prstGeom prst="rect">
          <a:avLst/>
        </a:prstGeom>
      </xdr:spPr>
    </xdr:pic>
    <xdr:clientData/>
  </xdr:twoCellAnchor>
  <xdr:twoCellAnchor>
    <xdr:from>
      <xdr:col>10</xdr:col>
      <xdr:colOff>419101</xdr:colOff>
      <xdr:row>14</xdr:row>
      <xdr:rowOff>2</xdr:rowOff>
    </xdr:from>
    <xdr:to>
      <xdr:col>18</xdr:col>
      <xdr:colOff>238125</xdr:colOff>
      <xdr:row>36</xdr:row>
      <xdr:rowOff>129540</xdr:rowOff>
    </xdr:to>
    <xdr:sp macro="" textlink="">
      <xdr:nvSpPr>
        <xdr:cNvPr id="3" name="TextBox 2"/>
        <xdr:cNvSpPr txBox="1"/>
      </xdr:nvSpPr>
      <xdr:spPr>
        <a:xfrm>
          <a:off x="6400801" y="2636522"/>
          <a:ext cx="4962524" cy="42290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  <a:endParaRPr lang="en-US" sz="1400">
            <a:effectLst/>
          </a:endParaRPr>
        </a:p>
        <a:p>
          <a:endParaRPr lang="en-US" sz="1100"/>
        </a:p>
        <a:p>
          <a:r>
            <a:rPr lang="en-US" sz="1100" b="1"/>
            <a:t>1) </a:t>
          </a:r>
          <a:r>
            <a:rPr lang="en-US" sz="1100"/>
            <a:t>Select charge voltage (Vs2) and a standard value for R99 and R</a:t>
          </a:r>
          <a:r>
            <a:rPr lang="en-US" sz="1100" baseline="-25000"/>
            <a:t>FBOUT2</a:t>
          </a:r>
          <a:r>
            <a:rPr lang="en-US" sz="1100"/>
            <a:t> (R16). </a:t>
          </a:r>
        </a:p>
        <a:p>
          <a:endParaRPr lang="en-US" sz="1100"/>
        </a:p>
        <a:p>
          <a:r>
            <a:rPr lang="en-US" sz="1100" b="1"/>
            <a:t>2) </a:t>
          </a:r>
          <a:r>
            <a:rPr lang="en-US" sz="1100"/>
            <a:t>Use the calculator to the left to find a standard value, if necessary. </a:t>
          </a:r>
          <a:r>
            <a:rPr lang="en-US" sz="1100" i="1"/>
            <a:t>R99 is used</a:t>
          </a:r>
          <a:r>
            <a:rPr lang="en-US" sz="1100" i="1" baseline="0"/>
            <a:t> to fine adjust V</a:t>
          </a:r>
          <a:r>
            <a:rPr lang="en-US" sz="1100" i="1" baseline="-25000"/>
            <a:t>BAT</a:t>
          </a:r>
          <a:r>
            <a:rPr lang="en-US" sz="1100" i="1" baseline="0"/>
            <a:t>, set to 0 if not needed.</a:t>
          </a:r>
          <a:endParaRPr lang="en-US" sz="1100" i="1"/>
        </a:p>
        <a:p>
          <a:endParaRPr lang="en-US" sz="1100"/>
        </a:p>
        <a:p>
          <a:r>
            <a:rPr lang="en-US" sz="1100"/>
            <a:t>The top row shows selected and ideal values, the </a:t>
          </a:r>
          <a:r>
            <a:rPr lang="en-US" sz="1100">
              <a:solidFill>
                <a:schemeClr val="accent3">
                  <a:lumMod val="60000"/>
                  <a:lumOff val="40000"/>
                </a:schemeClr>
              </a:solidFill>
            </a:rPr>
            <a:t>medium-green</a:t>
          </a:r>
          <a:r>
            <a:rPr lang="en-US" sz="1100"/>
            <a:t> and </a:t>
          </a:r>
          <a:r>
            <a:rPr lang="en-US" sz="1100">
              <a:solidFill>
                <a:schemeClr val="accent3">
                  <a:lumMod val="50000"/>
                </a:schemeClr>
              </a:solidFill>
            </a:rPr>
            <a:t>dark-green</a:t>
          </a:r>
          <a:r>
            <a:rPr lang="en-US" sz="1100"/>
            <a:t> rows below show standard values.  The calculator provides one</a:t>
          </a:r>
          <a:r>
            <a:rPr lang="en-US" sz="1100" baseline="0"/>
            <a:t> answer using resistors from the E96 series (</a:t>
          </a:r>
          <a:r>
            <a:rPr lang="en-US" sz="1100">
              <a:solidFill>
                <a:schemeClr val="accent3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medium-green</a:t>
          </a:r>
          <a:r>
            <a:rPr lang="en-US" sz="1100" baseline="0"/>
            <a:t>) and another answer using  the precision E192 series  (</a:t>
          </a:r>
          <a:r>
            <a:rPr lang="en-US" sz="1100" baseline="0">
              <a:solidFill>
                <a:schemeClr val="accent3">
                  <a:lumMod val="50000"/>
                </a:schemeClr>
              </a:solidFill>
            </a:rPr>
            <a:t>dark- green</a:t>
          </a:r>
          <a:r>
            <a:rPr lang="en-US" sz="1100" baseline="0"/>
            <a:t>).  </a:t>
          </a:r>
        </a:p>
        <a:p>
          <a:endParaRPr lang="en-US" sz="1100" baseline="0"/>
        </a:p>
        <a:p>
          <a:r>
            <a:rPr lang="en-US" sz="1100" b="1" baseline="0"/>
            <a:t>3) </a:t>
          </a:r>
          <a:r>
            <a:rPr lang="en-US" sz="1100" baseline="0"/>
            <a:t>Check that the actual V</a:t>
          </a:r>
          <a:r>
            <a:rPr lang="en-US" sz="1100" baseline="-25000"/>
            <a:t>S2</a:t>
          </a:r>
          <a:r>
            <a:rPr lang="en-US" sz="1100" baseline="0"/>
            <a:t> is close enough to the intended value. Adjust R99 if necessary (the calculator suggests a value).</a:t>
          </a:r>
          <a:endParaRPr lang="en-US" sz="1100"/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calculations for X, V</a:t>
          </a:r>
          <a:r>
            <a:rPr lang="en-US" sz="1100" baseline="-25000"/>
            <a:t>X3</a:t>
          </a:r>
          <a:r>
            <a:rPr lang="en-US" sz="1100" baseline="0"/>
            <a:t>, N1 and N2 to the left are included as a convenience. See page 17 in the data sheet.</a:t>
          </a:r>
          <a:endParaRPr lang="en-US" sz="1100"/>
        </a:p>
        <a:p>
          <a:endParaRPr lang="en-US" sz="1100"/>
        </a:p>
        <a:p>
          <a:r>
            <a:rPr lang="en-US" sz="1100"/>
            <a:t>The standard  E24 value for C</a:t>
          </a:r>
          <a:r>
            <a:rPr lang="en-US" sz="1100" baseline="-25000"/>
            <a:t>DACO</a:t>
          </a:r>
          <a:r>
            <a:rPr lang="en-US" sz="1100"/>
            <a:t> (C68) is also calculated</a:t>
          </a:r>
          <a:r>
            <a:rPr lang="en-US" sz="1100" baseline="0"/>
            <a:t>. Note that  the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2.7, 3.0, 3.3, 3.6, 3.9, 4.3, 4.7 and 8.2 values from the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E24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series are deviating  from the calculated value, so you may need to manually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select the correct value for the capacitor. It is only used for filtering the 32kHz PWM signal on  the FBOW pin, so the value does not have to be exact.</a:t>
          </a:r>
          <a:endParaRPr lang="en-US" sz="1100"/>
        </a:p>
      </xdr:txBody>
    </xdr:sp>
    <xdr:clientData/>
  </xdr:twoCellAnchor>
  <xdr:twoCellAnchor>
    <xdr:from>
      <xdr:col>8</xdr:col>
      <xdr:colOff>428625</xdr:colOff>
      <xdr:row>5</xdr:row>
      <xdr:rowOff>47625</xdr:rowOff>
    </xdr:from>
    <xdr:to>
      <xdr:col>8</xdr:col>
      <xdr:colOff>447675</xdr:colOff>
      <xdr:row>8</xdr:row>
      <xdr:rowOff>190500</xdr:rowOff>
    </xdr:to>
    <xdr:cxnSp macro="">
      <xdr:nvCxnSpPr>
        <xdr:cNvPr id="5" name="Straight Arrow Connector 4"/>
        <xdr:cNvCxnSpPr/>
      </xdr:nvCxnSpPr>
      <xdr:spPr>
        <a:xfrm>
          <a:off x="4981575" y="1009650"/>
          <a:ext cx="19050" cy="800100"/>
        </a:xfrm>
        <a:prstGeom prst="straightConnector1">
          <a:avLst/>
        </a:prstGeom>
        <a:ln w="15875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14</xdr:row>
      <xdr:rowOff>28577</xdr:rowOff>
    </xdr:from>
    <xdr:to>
      <xdr:col>10</xdr:col>
      <xdr:colOff>257174</xdr:colOff>
      <xdr:row>22</xdr:row>
      <xdr:rowOff>114300</xdr:rowOff>
    </xdr:to>
    <xdr:sp macro="" textlink="">
      <xdr:nvSpPr>
        <xdr:cNvPr id="10" name="TextBox 9"/>
        <xdr:cNvSpPr txBox="1"/>
      </xdr:nvSpPr>
      <xdr:spPr>
        <a:xfrm>
          <a:off x="3402330" y="2665097"/>
          <a:ext cx="2836544" cy="1617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What</a:t>
          </a:r>
          <a:r>
            <a:rPr lang="en-US" sz="1400" b="1" baseline="0"/>
            <a:t> to look for...</a:t>
          </a:r>
          <a:endParaRPr lang="en-US" sz="1100" b="1" baseline="0"/>
        </a:p>
        <a:p>
          <a:pPr algn="ctr"/>
          <a:endParaRPr lang="en-US" sz="1100" b="1" baseline="0"/>
        </a:p>
        <a:p>
          <a:pPr algn="l"/>
          <a:r>
            <a:rPr lang="en-US" sz="1100" b="1" baseline="0"/>
            <a:t>V</a:t>
          </a:r>
          <a:r>
            <a:rPr lang="en-US" sz="1100" b="1" baseline="-25000"/>
            <a:t>X3</a:t>
          </a:r>
          <a:r>
            <a:rPr lang="en-US" sz="1100" b="1" baseline="0"/>
            <a:t> = </a:t>
          </a:r>
          <a:r>
            <a:rPr lang="en-US" sz="1100" b="0" baseline="0"/>
            <a:t>This is the actual V</a:t>
          </a:r>
          <a:r>
            <a:rPr lang="en-US" sz="1100" b="0" baseline="-25000"/>
            <a:t>S2</a:t>
          </a:r>
          <a:r>
            <a:rPr lang="en-US" sz="1100" b="0" baseline="0"/>
            <a:t> you will get when using the calculated standard-value resistors</a:t>
          </a:r>
        </a:p>
        <a:p>
          <a:pPr algn="l"/>
          <a:r>
            <a:rPr lang="en-US" sz="1100" b="1" baseline="0"/>
            <a:t>N1 - </a:t>
          </a:r>
          <a:r>
            <a:rPr lang="en-US" sz="1100" b="0" baseline="0"/>
            <a:t>Should be as close to 1.22 as possible.</a:t>
          </a:r>
        </a:p>
        <a:p>
          <a:pPr algn="l"/>
          <a:r>
            <a:rPr lang="en-US" sz="1100" b="1" baseline="0"/>
            <a:t>N2 - </a:t>
          </a:r>
          <a:r>
            <a:rPr lang="en-US" sz="1100" b="0" baseline="0"/>
            <a:t>Should be as close to 0.805 as possible</a:t>
          </a:r>
        </a:p>
        <a:p>
          <a:pPr algn="l"/>
          <a:r>
            <a:rPr lang="en-US" sz="1100" b="1" baseline="0"/>
            <a:t>X -</a:t>
          </a:r>
          <a:r>
            <a:rPr lang="en-US" sz="1100" b="0" baseline="0"/>
            <a:t> This is an intermediate value in the calculations.</a:t>
          </a:r>
          <a:endParaRPr lang="en-US" sz="1400" b="0"/>
        </a:p>
      </xdr:txBody>
    </xdr:sp>
    <xdr:clientData/>
  </xdr:twoCellAnchor>
  <xdr:twoCellAnchor>
    <xdr:from>
      <xdr:col>4</xdr:col>
      <xdr:colOff>9526</xdr:colOff>
      <xdr:row>7</xdr:row>
      <xdr:rowOff>0</xdr:rowOff>
    </xdr:from>
    <xdr:to>
      <xdr:col>5</xdr:col>
      <xdr:colOff>200025</xdr:colOff>
      <xdr:row>14</xdr:row>
      <xdr:rowOff>180975</xdr:rowOff>
    </xdr:to>
    <xdr:sp macro="" textlink="">
      <xdr:nvSpPr>
        <xdr:cNvPr id="12" name="Right Brace 11"/>
        <xdr:cNvSpPr/>
      </xdr:nvSpPr>
      <xdr:spPr>
        <a:xfrm>
          <a:off x="2400301" y="1162050"/>
          <a:ext cx="295274" cy="16478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10</xdr:row>
      <xdr:rowOff>185738</xdr:rowOff>
    </xdr:from>
    <xdr:to>
      <xdr:col>6</xdr:col>
      <xdr:colOff>57150</xdr:colOff>
      <xdr:row>14</xdr:row>
      <xdr:rowOff>9525</xdr:rowOff>
    </xdr:to>
    <xdr:cxnSp macro="">
      <xdr:nvCxnSpPr>
        <xdr:cNvPr id="14" name="Straight Arrow Connector 13"/>
        <xdr:cNvCxnSpPr>
          <a:endCxn id="12" idx="1"/>
        </xdr:cNvCxnSpPr>
      </xdr:nvCxnSpPr>
      <xdr:spPr>
        <a:xfrm flipH="1" flipV="1">
          <a:off x="2695575" y="2195513"/>
          <a:ext cx="600075" cy="633412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23</xdr:row>
      <xdr:rowOff>104774</xdr:rowOff>
    </xdr:from>
    <xdr:to>
      <xdr:col>7</xdr:col>
      <xdr:colOff>242860</xdr:colOff>
      <xdr:row>37</xdr:row>
      <xdr:rowOff>148005</xdr:rowOff>
    </xdr:to>
    <xdr:pic>
      <xdr:nvPicPr>
        <xdr:cNvPr id="2" name="Picture 1" descr="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5426" y="4781549"/>
          <a:ext cx="2671734" cy="2710231"/>
        </a:xfrm>
        <a:prstGeom prst="rect">
          <a:avLst/>
        </a:prstGeom>
      </xdr:spPr>
    </xdr:pic>
    <xdr:clientData/>
  </xdr:twoCellAnchor>
  <xdr:twoCellAnchor>
    <xdr:from>
      <xdr:col>10</xdr:col>
      <xdr:colOff>581026</xdr:colOff>
      <xdr:row>13</xdr:row>
      <xdr:rowOff>9524</xdr:rowOff>
    </xdr:from>
    <xdr:to>
      <xdr:col>19</xdr:col>
      <xdr:colOff>219075</xdr:colOff>
      <xdr:row>37</xdr:row>
      <xdr:rowOff>137160</xdr:rowOff>
    </xdr:to>
    <xdr:sp macro="" textlink="">
      <xdr:nvSpPr>
        <xdr:cNvPr id="3" name="TextBox 2"/>
        <xdr:cNvSpPr txBox="1"/>
      </xdr:nvSpPr>
      <xdr:spPr>
        <a:xfrm>
          <a:off x="6707506" y="2470784"/>
          <a:ext cx="5756909" cy="4592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 i="0"/>
            <a:t>Instructions</a:t>
          </a:r>
        </a:p>
        <a:p>
          <a:endParaRPr lang="en-US" sz="1100" i="1"/>
        </a:p>
        <a:p>
          <a:r>
            <a:rPr lang="en-US" sz="1100" b="1" i="1"/>
            <a:t>Use this calculator when the charger must start without</a:t>
          </a:r>
          <a:r>
            <a:rPr lang="en-US" sz="1100" b="1" i="1" baseline="0"/>
            <a:t> battery voltage.</a:t>
          </a:r>
        </a:p>
        <a:p>
          <a:r>
            <a:rPr lang="en-US" sz="1100" baseline="0"/>
            <a:t>Split R</a:t>
          </a:r>
          <a:r>
            <a:rPr lang="en-US" sz="1100" baseline="-25000"/>
            <a:t>FBOUT1</a:t>
          </a:r>
          <a:r>
            <a:rPr lang="en-US" sz="1100" baseline="0"/>
            <a:t> in two and connect a signal diode (eg 1N4148) from 3.3V as shown, to keep FBOR  in the range 0.6V...0.84V with no battery present.</a:t>
          </a:r>
        </a:p>
        <a:p>
          <a:endParaRPr lang="en-US" sz="1100"/>
        </a:p>
        <a:p>
          <a:r>
            <a:rPr lang="en-US" sz="1100" b="1"/>
            <a:t>1)</a:t>
          </a:r>
          <a:r>
            <a:rPr lang="en-US" sz="1100"/>
            <a:t> Select charge voltage (V</a:t>
          </a:r>
          <a:r>
            <a:rPr lang="en-US" sz="1100" baseline="-25000"/>
            <a:t>S2</a:t>
          </a:r>
          <a:r>
            <a:rPr lang="en-US" sz="1100"/>
            <a:t>) and a standard value for R99 and R</a:t>
          </a:r>
          <a:r>
            <a:rPr lang="en-US" sz="1100" baseline="-25000"/>
            <a:t>FBOUT2 </a:t>
          </a:r>
          <a:r>
            <a:rPr lang="en-US" sz="1100"/>
            <a:t>(R16). </a:t>
          </a:r>
        </a:p>
        <a:p>
          <a:endParaRPr lang="en-US" sz="1100"/>
        </a:p>
        <a:p>
          <a:r>
            <a:rPr lang="en-US" sz="1100" b="1"/>
            <a:t>2)</a:t>
          </a:r>
          <a:r>
            <a:rPr lang="en-US" sz="1100"/>
            <a:t> Use the calculator in the bottom left corner to find a standard value, if necessary.</a:t>
          </a:r>
        </a:p>
        <a:p>
          <a:endParaRPr lang="en-US" sz="1100"/>
        </a:p>
        <a:p>
          <a:r>
            <a:rPr lang="en-US" sz="1100"/>
            <a:t>The top row shows selected and ideal values, the blue and brown rows below show standard values.  The calculator provides one</a:t>
          </a:r>
          <a:r>
            <a:rPr lang="en-US" sz="1100" baseline="0"/>
            <a:t> answer using resistors from the E96 series (blue) and another answer using  the precision E192 series  (brown).  </a:t>
          </a:r>
        </a:p>
        <a:p>
          <a:endParaRPr lang="en-US" sz="1100" baseline="0"/>
        </a:p>
        <a:p>
          <a:r>
            <a:rPr lang="en-US" sz="1100" b="1" baseline="0"/>
            <a:t>3)</a:t>
          </a:r>
          <a:r>
            <a:rPr lang="en-US" sz="1100" baseline="0"/>
            <a:t> Check that the actual V</a:t>
          </a:r>
          <a:r>
            <a:rPr lang="en-US" sz="1100" baseline="-25000"/>
            <a:t>S2</a:t>
          </a:r>
          <a:r>
            <a:rPr lang="en-US" sz="1100" baseline="0"/>
            <a:t> is close enough to the intended value. Adjust R99 if necessary (the calculator suggests a value).</a:t>
          </a:r>
          <a:endParaRPr lang="en-US" sz="1100"/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calculations for X, V</a:t>
          </a:r>
          <a:r>
            <a:rPr lang="en-US" sz="1100" baseline="-25000"/>
            <a:t>X3</a:t>
          </a:r>
          <a:r>
            <a:rPr lang="en-US" sz="1100" baseline="0"/>
            <a:t>, N1 and N2 to the left are included as a convenience. See page 17 in the data sheet.</a:t>
          </a:r>
          <a:endParaRPr lang="en-US" sz="1100"/>
        </a:p>
        <a:p>
          <a:endParaRPr lang="en-US" sz="1100"/>
        </a:p>
        <a:p>
          <a:r>
            <a:rPr lang="en-US" sz="1100"/>
            <a:t>The standard  E24 value for C</a:t>
          </a:r>
          <a:r>
            <a:rPr lang="en-US" sz="1100" baseline="-25000"/>
            <a:t>DACO</a:t>
          </a:r>
          <a:r>
            <a:rPr lang="en-US" sz="1100"/>
            <a:t> (C68) is also calculated</a:t>
          </a:r>
          <a:r>
            <a:rPr lang="en-US" sz="1100" baseline="0"/>
            <a:t>. Note that  the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2.7, 3.0, 3.3, 3.6, 3.9, 4.3, 4.7 and 8.2 values from the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E24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series are deviating  from the calculated value, so you may need to manually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select the correct value for the capacitor. It is only used for filtering the 32kHz PWM signal on FBOW, so the value does not have to be exact.</a:t>
          </a:r>
          <a:endParaRPr lang="en-US" sz="1100"/>
        </a:p>
      </xdr:txBody>
    </xdr:sp>
    <xdr:clientData/>
  </xdr:twoCellAnchor>
  <xdr:twoCellAnchor>
    <xdr:from>
      <xdr:col>8</xdr:col>
      <xdr:colOff>542925</xdr:colOff>
      <xdr:row>4</xdr:row>
      <xdr:rowOff>161925</xdr:rowOff>
    </xdr:from>
    <xdr:to>
      <xdr:col>8</xdr:col>
      <xdr:colOff>548640</xdr:colOff>
      <xdr:row>9</xdr:row>
      <xdr:rowOff>0</xdr:rowOff>
    </xdr:to>
    <xdr:cxnSp macro="">
      <xdr:nvCxnSpPr>
        <xdr:cNvPr id="4" name="Straight Arrow Connector 3"/>
        <xdr:cNvCxnSpPr/>
      </xdr:nvCxnSpPr>
      <xdr:spPr>
        <a:xfrm>
          <a:off x="5160645" y="893445"/>
          <a:ext cx="5715" cy="805815"/>
        </a:xfrm>
        <a:prstGeom prst="straightConnector1">
          <a:avLst/>
        </a:prstGeom>
        <a:ln w="15875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171449</xdr:colOff>
      <xdr:row>14</xdr:row>
      <xdr:rowOff>99060</xdr:rowOff>
    </xdr:from>
    <xdr:to>
      <xdr:col>10</xdr:col>
      <xdr:colOff>219075</xdr:colOff>
      <xdr:row>22</xdr:row>
      <xdr:rowOff>180975</xdr:rowOff>
    </xdr:to>
    <xdr:sp macro="" textlink="">
      <xdr:nvSpPr>
        <xdr:cNvPr id="6" name="TextBox 5"/>
        <xdr:cNvSpPr txBox="1"/>
      </xdr:nvSpPr>
      <xdr:spPr>
        <a:xfrm>
          <a:off x="3455669" y="2743200"/>
          <a:ext cx="2889886" cy="1613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What</a:t>
          </a:r>
          <a:r>
            <a:rPr lang="en-US" sz="1400" b="1" baseline="0"/>
            <a:t> to look for...</a:t>
          </a:r>
          <a:endParaRPr lang="en-US" sz="1100" b="1" baseline="0"/>
        </a:p>
        <a:p>
          <a:pPr algn="ctr"/>
          <a:endParaRPr lang="en-US" sz="1100" b="1" baseline="0"/>
        </a:p>
        <a:p>
          <a:pPr algn="l"/>
          <a:r>
            <a:rPr lang="en-US" sz="1100" b="1" baseline="0"/>
            <a:t>V</a:t>
          </a:r>
          <a:r>
            <a:rPr lang="en-US" sz="1100" b="1" baseline="-25000"/>
            <a:t>X3</a:t>
          </a:r>
          <a:r>
            <a:rPr lang="en-US" sz="1100" b="1" baseline="0"/>
            <a:t> = </a:t>
          </a:r>
          <a:r>
            <a:rPr lang="en-US" sz="1100" b="0" baseline="0"/>
            <a:t>This is the actual V</a:t>
          </a:r>
          <a:r>
            <a:rPr lang="en-US" sz="1100" b="0" baseline="-25000"/>
            <a:t>S2</a:t>
          </a:r>
          <a:r>
            <a:rPr lang="en-US" sz="1100" b="0" baseline="0"/>
            <a:t> you will get when using the calculated standard-value resistors</a:t>
          </a:r>
        </a:p>
        <a:p>
          <a:pPr algn="l"/>
          <a:r>
            <a:rPr lang="en-US" sz="1100" b="1" baseline="0"/>
            <a:t>N1 - </a:t>
          </a:r>
          <a:r>
            <a:rPr lang="en-US" sz="1100" b="0" baseline="0"/>
            <a:t>Should be as close to 1.22 as possible.</a:t>
          </a:r>
        </a:p>
        <a:p>
          <a:pPr algn="l"/>
          <a:r>
            <a:rPr lang="en-US" sz="1100" b="1" baseline="0"/>
            <a:t>N2 - </a:t>
          </a:r>
          <a:r>
            <a:rPr lang="en-US" sz="1100" b="0" baseline="0"/>
            <a:t>Should be as close to 0.805 as possible</a:t>
          </a:r>
        </a:p>
        <a:p>
          <a:pPr algn="l"/>
          <a:r>
            <a:rPr lang="en-US" sz="1100" b="1" baseline="0"/>
            <a:t>X -</a:t>
          </a:r>
          <a:r>
            <a:rPr lang="en-US" sz="1100" b="0" baseline="0"/>
            <a:t> This is an intermediate value in the calculations.</a:t>
          </a:r>
          <a:endParaRPr lang="en-US" sz="1400" b="0"/>
        </a:p>
      </xdr:txBody>
    </xdr:sp>
    <xdr:clientData/>
  </xdr:twoCellAnchor>
  <xdr:twoCellAnchor>
    <xdr:from>
      <xdr:col>4</xdr:col>
      <xdr:colOff>19050</xdr:colOff>
      <xdr:row>7</xdr:row>
      <xdr:rowOff>0</xdr:rowOff>
    </xdr:from>
    <xdr:to>
      <xdr:col>5</xdr:col>
      <xdr:colOff>209549</xdr:colOff>
      <xdr:row>15</xdr:row>
      <xdr:rowOff>9525</xdr:rowOff>
    </xdr:to>
    <xdr:sp macro="" textlink="">
      <xdr:nvSpPr>
        <xdr:cNvPr id="7" name="Right Brace 6"/>
        <xdr:cNvSpPr/>
      </xdr:nvSpPr>
      <xdr:spPr>
        <a:xfrm>
          <a:off x="2390775" y="1200150"/>
          <a:ext cx="295274" cy="1647825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238125</xdr:colOff>
      <xdr:row>11</xdr:row>
      <xdr:rowOff>38100</xdr:rowOff>
    </xdr:from>
    <xdr:to>
      <xdr:col>6</xdr:col>
      <xdr:colOff>123825</xdr:colOff>
      <xdr:row>15</xdr:row>
      <xdr:rowOff>100012</xdr:rowOff>
    </xdr:to>
    <xdr:cxnSp macro="">
      <xdr:nvCxnSpPr>
        <xdr:cNvPr id="8" name="Straight Arrow Connector 7"/>
        <xdr:cNvCxnSpPr/>
      </xdr:nvCxnSpPr>
      <xdr:spPr>
        <a:xfrm flipH="1" flipV="1">
          <a:off x="2714625" y="2057400"/>
          <a:ext cx="628650" cy="881062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45831</xdr:colOff>
      <xdr:row>7</xdr:row>
      <xdr:rowOff>105447</xdr:rowOff>
    </xdr:from>
    <xdr:to>
      <xdr:col>11</xdr:col>
      <xdr:colOff>261415</xdr:colOff>
      <xdr:row>20</xdr:row>
      <xdr:rowOff>165735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3566" y="1752712"/>
          <a:ext cx="3790261" cy="2895376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417195</xdr:colOff>
      <xdr:row>4</xdr:row>
      <xdr:rowOff>22860</xdr:rowOff>
    </xdr:from>
    <xdr:to>
      <xdr:col>19</xdr:col>
      <xdr:colOff>112395</xdr:colOff>
      <xdr:row>34</xdr:row>
      <xdr:rowOff>107576</xdr:rowOff>
    </xdr:to>
    <xdr:sp macro="" textlink="">
      <xdr:nvSpPr>
        <xdr:cNvPr id="3" name="TextBox 2"/>
        <xdr:cNvSpPr txBox="1"/>
      </xdr:nvSpPr>
      <xdr:spPr>
        <a:xfrm>
          <a:off x="8234419" y="749001"/>
          <a:ext cx="4572000" cy="6288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/>
            <a:t>INSTRUCTIONS</a:t>
          </a:r>
        </a:p>
        <a:p>
          <a:endParaRPr lang="en-US" sz="1100"/>
        </a:p>
        <a:p>
          <a:r>
            <a:rPr lang="en-US" sz="1100" b="1"/>
            <a:t>1)</a:t>
          </a:r>
          <a:r>
            <a:rPr lang="en-US" sz="1100"/>
            <a:t> Enter a value for Vmax that is higher</a:t>
          </a:r>
          <a:r>
            <a:rPr lang="en-US" sz="1100" baseline="0"/>
            <a:t> than V</a:t>
          </a:r>
          <a:r>
            <a:rPr lang="en-US" sz="1100" baseline="-25000"/>
            <a:t>OC</a:t>
          </a:r>
          <a:r>
            <a:rPr lang="en-US" sz="1100" baseline="0"/>
            <a:t> at -40C (C6). Use the </a:t>
          </a:r>
          <a:r>
            <a:rPr lang="en-US" sz="1100" b="1" baseline="0"/>
            <a:t>Panel Calculator</a:t>
          </a:r>
          <a:r>
            <a:rPr lang="en-US" sz="1100" baseline="0"/>
            <a:t> (below) and the panel data sheet information and set V</a:t>
          </a:r>
          <a:r>
            <a:rPr lang="en-US" sz="1100" baseline="-25000"/>
            <a:t>MAX</a:t>
          </a:r>
          <a:r>
            <a:rPr lang="en-US" sz="1100" baseline="0"/>
            <a:t>&gt;Voc_cold</a:t>
          </a:r>
        </a:p>
        <a:p>
          <a:r>
            <a:rPr lang="en-US" sz="1100" b="1" baseline="0"/>
            <a:t>2)</a:t>
          </a:r>
          <a:r>
            <a:rPr lang="en-US" sz="1100" baseline="0"/>
            <a:t> Enter a standard value for R</a:t>
          </a:r>
          <a:r>
            <a:rPr lang="en-US" sz="1100" baseline="-25000"/>
            <a:t>FBIN2</a:t>
          </a:r>
          <a:r>
            <a:rPr lang="en-US" sz="1100" baseline="0"/>
            <a:t>  in C14</a:t>
          </a:r>
        </a:p>
        <a:p>
          <a:r>
            <a:rPr lang="en-US" sz="1100" b="1" baseline="0"/>
            <a:t>3)</a:t>
          </a:r>
          <a:r>
            <a:rPr lang="en-US" sz="1100" baseline="0"/>
            <a:t> Enter a standard value for R</a:t>
          </a:r>
          <a:r>
            <a:rPr lang="en-US" sz="1100" baseline="-25000"/>
            <a:t>DACI1</a:t>
          </a:r>
          <a:r>
            <a:rPr lang="en-US" sz="1100" baseline="0"/>
            <a:t> into cell C15 (if not sure, use the suggested value in cell E15)</a:t>
          </a:r>
        </a:p>
        <a:p>
          <a:endParaRPr lang="en-US" sz="1100" baseline="0"/>
        </a:p>
        <a:p>
          <a:r>
            <a:rPr lang="en-US" sz="1100" baseline="0"/>
            <a:t>Standard values for R</a:t>
          </a:r>
          <a:r>
            <a:rPr lang="en-US" sz="1100" baseline="-25000"/>
            <a:t>DACI2</a:t>
          </a:r>
          <a:r>
            <a:rPr lang="en-US" sz="1100" baseline="0"/>
            <a:t> and R</a:t>
          </a:r>
          <a:r>
            <a:rPr lang="en-US" sz="1100" baseline="-25000"/>
            <a:t>FBIN1</a:t>
          </a:r>
          <a:r>
            <a:rPr lang="en-US" sz="1100" baseline="0"/>
            <a:t> will be calculated (C16, C17)</a:t>
          </a:r>
        </a:p>
        <a:p>
          <a:r>
            <a:rPr lang="en-US" sz="1100" baseline="0"/>
            <a:t>C</a:t>
          </a:r>
          <a:r>
            <a:rPr lang="en-US" sz="1100" baseline="-25000"/>
            <a:t>DACI</a:t>
          </a:r>
          <a:r>
            <a:rPr lang="en-US" sz="1100" baseline="0"/>
            <a:t>  will be calculated. Select the nearest standard value from E24 or E12 series (the value is not critical).</a:t>
          </a:r>
        </a:p>
        <a:p>
          <a:endParaRPr lang="en-US" sz="1100"/>
        </a:p>
        <a:p>
          <a:r>
            <a:rPr lang="en-US" sz="1100"/>
            <a:t>A standard value calculator is included. Enter a value in cell C21 and the nearest standard value from E192 and E96 series is calculated below.</a:t>
          </a:r>
        </a:p>
        <a:p>
          <a:endParaRPr lang="en-US" sz="1100"/>
        </a:p>
        <a:p>
          <a:r>
            <a:rPr lang="en-US" sz="1100"/>
            <a:t>A</a:t>
          </a:r>
          <a:r>
            <a:rPr lang="en-US" sz="1100" baseline="0"/>
            <a:t> manual check of the network can be done in the </a:t>
          </a:r>
          <a:r>
            <a:rPr lang="en-US" sz="1100" b="1" baseline="0"/>
            <a:t>Manual Checker</a:t>
          </a:r>
          <a:r>
            <a:rPr lang="en-US" sz="1100" baseline="0"/>
            <a:t> area.</a:t>
          </a:r>
        </a:p>
        <a:p>
          <a:r>
            <a:rPr lang="en-US" sz="1100" baseline="0"/>
            <a:t>Values for V</a:t>
          </a:r>
          <a:r>
            <a:rPr lang="en-US" sz="1100" baseline="-25000"/>
            <a:t>X1</a:t>
          </a:r>
          <a:r>
            <a:rPr lang="en-US" sz="1100" baseline="0"/>
            <a:t> and V</a:t>
          </a:r>
          <a:r>
            <a:rPr lang="en-US" sz="1100" baseline="-25000"/>
            <a:t>X2</a:t>
          </a:r>
          <a:r>
            <a:rPr lang="en-US" sz="1100" baseline="0"/>
            <a:t> will be calculated.</a:t>
          </a:r>
        </a:p>
        <a:p>
          <a:endParaRPr lang="en-US" sz="1100" baseline="0"/>
        </a:p>
        <a:p>
          <a:r>
            <a:rPr lang="en-US" sz="1100" baseline="0"/>
            <a:t>Cells F7 to K7 are used by the top calculator. Two values for R</a:t>
          </a:r>
          <a:r>
            <a:rPr lang="en-US" sz="1100" baseline="-25000"/>
            <a:t>FBIN1</a:t>
          </a:r>
          <a:r>
            <a:rPr lang="en-US" sz="1100" baseline="0"/>
            <a:t> are calculated, one (J7) is focusing on not to drop below V</a:t>
          </a:r>
          <a:r>
            <a:rPr lang="en-US" sz="1100" baseline="-25000"/>
            <a:t>INMIN</a:t>
          </a:r>
          <a:r>
            <a:rPr lang="en-US" sz="1100" baseline="0"/>
            <a:t>=6V, the other one (K7) focusing on to give V</a:t>
          </a:r>
          <a:r>
            <a:rPr lang="en-US" sz="1100" baseline="-25000"/>
            <a:t>MAX</a:t>
          </a:r>
          <a:r>
            <a:rPr lang="en-US" sz="1100" baseline="0"/>
            <a:t> above the target value. Of these two values, the larger value is chosen, increased by 1% to give some margin, and placed in cell I7. The nearest standard value from the E96 series is calculated and placed in cell I7 (and C17).</a:t>
          </a:r>
        </a:p>
        <a:p>
          <a:endParaRPr lang="en-US" sz="1100" baseline="0"/>
        </a:p>
        <a:p>
          <a:r>
            <a:rPr lang="en-US" sz="1100" baseline="0"/>
            <a:t>The value in F7 is the ideal sum for R</a:t>
          </a:r>
          <a:r>
            <a:rPr lang="en-US" sz="1100" baseline="-25000"/>
            <a:t>DACI1</a:t>
          </a:r>
          <a:r>
            <a:rPr lang="en-US" sz="1100" baseline="0"/>
            <a:t> and R</a:t>
          </a:r>
          <a:r>
            <a:rPr lang="en-US" sz="1100" baseline="-25000"/>
            <a:t>DACI2</a:t>
          </a:r>
          <a:r>
            <a:rPr lang="en-US" sz="1100" baseline="0"/>
            <a:t>.  See data sheet page 14-15. </a:t>
          </a:r>
        </a:p>
        <a:p>
          <a:endParaRPr lang="en-US" sz="1100" baseline="0"/>
        </a:p>
        <a:p>
          <a:r>
            <a:rPr lang="en-US" sz="1100" b="1" baseline="0"/>
            <a:t>4)</a:t>
          </a:r>
          <a:r>
            <a:rPr lang="en-US" sz="1100" baseline="0"/>
            <a:t> Use Figure 5 to check the input voltage range. For example, if V</a:t>
          </a:r>
          <a:r>
            <a:rPr lang="en-US" sz="1100" baseline="-25000"/>
            <a:t>MAX</a:t>
          </a:r>
          <a:r>
            <a:rPr lang="en-US" sz="1100" baseline="0"/>
            <a:t> is set to 70V the charger will not use 100% of the available panel power if the panel voltage is below 20V. This is important if the charger is to be used with both high voltage and low voltage panels.</a:t>
          </a:r>
          <a:endParaRPr lang="en-US" sz="1100"/>
        </a:p>
      </xdr:txBody>
    </xdr:sp>
    <xdr:clientData/>
  </xdr:twoCellAnchor>
  <xdr:twoCellAnchor editAs="oneCell">
    <xdr:from>
      <xdr:col>19</xdr:col>
      <xdr:colOff>249443</xdr:colOff>
      <xdr:row>6</xdr:row>
      <xdr:rowOff>15352</xdr:rowOff>
    </xdr:from>
    <xdr:to>
      <xdr:col>25</xdr:col>
      <xdr:colOff>546623</xdr:colOff>
      <xdr:row>21</xdr:row>
      <xdr:rowOff>106567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32796" y="1247999"/>
          <a:ext cx="3927886" cy="3340921"/>
        </a:xfrm>
        <a:prstGeom prst="rect">
          <a:avLst/>
        </a:prstGeom>
        <a:noFill/>
      </xdr:spPr>
    </xdr:pic>
    <xdr:clientData/>
  </xdr:twoCellAnchor>
  <xdr:twoCellAnchor>
    <xdr:from>
      <xdr:col>0</xdr:col>
      <xdr:colOff>104775</xdr:colOff>
      <xdr:row>31</xdr:row>
      <xdr:rowOff>38100</xdr:rowOff>
    </xdr:from>
    <xdr:to>
      <xdr:col>1</xdr:col>
      <xdr:colOff>438150</xdr:colOff>
      <xdr:row>35</xdr:row>
      <xdr:rowOff>53788</xdr:rowOff>
    </xdr:to>
    <xdr:sp macro="" textlink="">
      <xdr:nvSpPr>
        <xdr:cNvPr id="2" name="TextBox 1"/>
        <xdr:cNvSpPr txBox="1"/>
      </xdr:nvSpPr>
      <xdr:spPr>
        <a:xfrm>
          <a:off x="104775" y="6376147"/>
          <a:ext cx="808504" cy="7866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DC2069A names in parens ()</a:t>
          </a:r>
        </a:p>
      </xdr:txBody>
    </xdr:sp>
    <xdr:clientData/>
  </xdr:twoCellAnchor>
  <xdr:twoCellAnchor>
    <xdr:from>
      <xdr:col>0</xdr:col>
      <xdr:colOff>190500</xdr:colOff>
      <xdr:row>27</xdr:row>
      <xdr:rowOff>133350</xdr:rowOff>
    </xdr:from>
    <xdr:to>
      <xdr:col>0</xdr:col>
      <xdr:colOff>533400</xdr:colOff>
      <xdr:row>31</xdr:row>
      <xdr:rowOff>9525</xdr:rowOff>
    </xdr:to>
    <xdr:cxnSp macro="">
      <xdr:nvCxnSpPr>
        <xdr:cNvPr id="5" name="Straight Arrow Connector 4"/>
        <xdr:cNvCxnSpPr/>
      </xdr:nvCxnSpPr>
      <xdr:spPr>
        <a:xfrm flipV="1">
          <a:off x="190500" y="6372225"/>
          <a:ext cx="342900" cy="809625"/>
        </a:xfrm>
        <a:prstGeom prst="straightConnector1">
          <a:avLst/>
        </a:prstGeom>
        <a:ln w="22225">
          <a:solidFill>
            <a:schemeClr val="bg1">
              <a:lumMod val="8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R23"/>
  <sheetViews>
    <sheetView tabSelected="1" workbookViewId="0">
      <pane ySplit="4" topLeftCell="A5" activePane="bottomLeft" state="frozen"/>
      <selection pane="bottomLeft" activeCell="I10" sqref="I10"/>
    </sheetView>
  </sheetViews>
  <sheetFormatPr defaultRowHeight="14.4"/>
  <cols>
    <col min="2" max="2" width="10.5546875" customWidth="1"/>
    <col min="3" max="3" width="12.109375" customWidth="1"/>
    <col min="4" max="4" width="4" style="3" customWidth="1"/>
    <col min="5" max="5" width="1.5546875" style="3" customWidth="1"/>
    <col min="6" max="6" width="11.109375" customWidth="1"/>
    <col min="7" max="7" width="10.5546875" customWidth="1"/>
    <col min="9" max="9" width="7.88671875" customWidth="1"/>
    <col min="10" max="10" width="11.6640625" customWidth="1"/>
    <col min="11" max="12" width="11.5546875" customWidth="1"/>
    <col min="13" max="13" width="11" customWidth="1"/>
    <col min="14" max="14" width="10.33203125" customWidth="1"/>
    <col min="15" max="15" width="3.88671875" customWidth="1"/>
  </cols>
  <sheetData>
    <row r="1" spans="1:18">
      <c r="A1" s="141" t="s">
        <v>10</v>
      </c>
      <c r="B1" s="141"/>
      <c r="C1" s="141"/>
      <c r="D1" s="141"/>
      <c r="E1" s="141"/>
      <c r="F1" s="141"/>
    </row>
    <row r="2" spans="1:18">
      <c r="A2" s="140" t="s">
        <v>73</v>
      </c>
      <c r="B2" s="140"/>
      <c r="C2" s="140"/>
      <c r="D2" s="140"/>
      <c r="E2" s="140"/>
      <c r="F2" s="140"/>
    </row>
    <row r="3" spans="1:18">
      <c r="A3" s="139" t="s">
        <v>72</v>
      </c>
      <c r="B3" s="139"/>
      <c r="C3" s="139"/>
      <c r="D3" s="139"/>
      <c r="E3" s="139"/>
      <c r="F3" s="139"/>
    </row>
    <row r="4" spans="1:18">
      <c r="A4" s="142" t="s">
        <v>74</v>
      </c>
      <c r="B4" s="142"/>
      <c r="C4" s="142"/>
      <c r="D4" s="142"/>
      <c r="E4" s="142"/>
      <c r="F4" s="142"/>
      <c r="Q4" s="58"/>
    </row>
    <row r="5" spans="1:18">
      <c r="A5" s="120"/>
      <c r="B5" s="120"/>
      <c r="C5" s="120"/>
      <c r="D5" s="120"/>
      <c r="E5" s="120"/>
      <c r="F5" s="120"/>
      <c r="G5" s="45"/>
      <c r="H5" s="58" t="str">
        <f>CONCATENATE("Tip:   Try  R99  = ", ROUND((10^(ROUND(96*LOG(Rfbout1+I10-Rfbout1s),0)/96))/10^INT(LOG((10^(ROUND(96*LOG(Rfbout1+I10-Rfbout1s),0)/96)))),2)*10^INT(LOG((10^(ROUND(96*LOG(Rfbout1+I10-Rfbout1s),0)/96))))," (increase R99 if #NUM! error shows)")</f>
        <v>Tip:   Try  R99  = 4.53 (increase R99 if #NUM! error shows)</v>
      </c>
    </row>
    <row r="6" spans="1:18" ht="15" thickBot="1">
      <c r="F6" s="45"/>
      <c r="G6" s="1"/>
    </row>
    <row r="7" spans="1:18" ht="16.2" thickBot="1">
      <c r="B7" s="143" t="s">
        <v>76</v>
      </c>
      <c r="C7" s="144"/>
      <c r="D7" s="145"/>
      <c r="E7" s="5"/>
      <c r="F7" s="1"/>
      <c r="G7" s="1"/>
      <c r="H7" s="124" t="s">
        <v>61</v>
      </c>
      <c r="I7" s="122" t="s">
        <v>51</v>
      </c>
      <c r="J7" s="49" t="s">
        <v>62</v>
      </c>
      <c r="K7" s="49" t="s">
        <v>63</v>
      </c>
      <c r="L7" s="49" t="s">
        <v>64</v>
      </c>
      <c r="M7" s="49" t="s">
        <v>65</v>
      </c>
      <c r="N7" s="50" t="s">
        <v>66</v>
      </c>
      <c r="P7" s="121" t="s">
        <v>59</v>
      </c>
      <c r="Q7" s="121"/>
      <c r="R7" s="121"/>
    </row>
    <row r="8" spans="1:18">
      <c r="B8" s="74" t="s">
        <v>77</v>
      </c>
      <c r="C8" s="75">
        <f>1.211*(1+(Rdaco1+Rdaco2s)/Rfbout2+(Rdaco1+Rdaco2s)/(Rfbout1s+I10))</f>
        <v>9.7364964496991284</v>
      </c>
      <c r="D8" s="76"/>
      <c r="E8" s="40"/>
      <c r="F8" s="1"/>
      <c r="G8" s="3"/>
      <c r="H8" s="125"/>
      <c r="I8" s="123"/>
      <c r="J8" s="52" t="s">
        <v>52</v>
      </c>
      <c r="K8" s="52" t="s">
        <v>53</v>
      </c>
      <c r="L8" s="52" t="s">
        <v>54</v>
      </c>
      <c r="M8" s="52" t="s">
        <v>55</v>
      </c>
      <c r="N8" s="53" t="s">
        <v>56</v>
      </c>
      <c r="P8" s="135" t="s">
        <v>60</v>
      </c>
      <c r="Q8" s="135"/>
      <c r="R8" s="135"/>
    </row>
    <row r="9" spans="1:18" ht="16.2" thickBot="1">
      <c r="B9" s="77" t="s">
        <v>78</v>
      </c>
      <c r="C9" s="66">
        <f>(Rfbout1s+I10)/(Rdaco1+Rdaco2s)*(X-1.89)</f>
        <v>14.265148167950692</v>
      </c>
      <c r="D9" s="78" t="s">
        <v>26</v>
      </c>
      <c r="E9" s="36"/>
      <c r="F9" s="2"/>
      <c r="H9" s="51" t="s">
        <v>57</v>
      </c>
      <c r="I9" s="54" t="s">
        <v>67</v>
      </c>
      <c r="J9" s="54" t="s">
        <v>58</v>
      </c>
      <c r="K9" s="54" t="s">
        <v>58</v>
      </c>
      <c r="L9" s="54" t="s">
        <v>58</v>
      </c>
      <c r="M9" s="54" t="s">
        <v>58</v>
      </c>
      <c r="N9" s="55" t="s">
        <v>68</v>
      </c>
    </row>
    <row r="10" spans="1:18">
      <c r="B10" s="77" t="s">
        <v>79</v>
      </c>
      <c r="C10" s="66">
        <f>(C8-1.89)/(C8-3.3)</f>
        <v>1.2190632762744567</v>
      </c>
      <c r="D10" s="78"/>
      <c r="E10" s="36"/>
      <c r="F10" s="48"/>
      <c r="G10" s="47"/>
      <c r="H10" s="56">
        <v>14.2</v>
      </c>
      <c r="I10" s="57">
        <v>4.99</v>
      </c>
      <c r="J10" s="59">
        <f>((Vout-Vfbout)/(Vfbout/Rfbout2/1000-(Vfbow-Vfbout)/(Rdaco1+Rdaco2)/1000))/1000-I10</f>
        <v>112.49833253759846</v>
      </c>
      <c r="K10" s="57">
        <v>10</v>
      </c>
      <c r="L10" s="60">
        <f>Rfbout2</f>
        <v>10</v>
      </c>
      <c r="M10" s="59">
        <f>(7/(0.000111/(Vout-Vfbout)+1/Rfbout2/1000)-Rdaco1*1000)/1000</f>
        <v>54.48936170212766</v>
      </c>
      <c r="N10" s="61">
        <f>1/0.5/Rdaco1</f>
        <v>0.2</v>
      </c>
      <c r="P10" s="136" t="s">
        <v>71</v>
      </c>
      <c r="Q10" s="137"/>
      <c r="R10" s="138"/>
    </row>
    <row r="11" spans="1:18">
      <c r="B11" s="77" t="s">
        <v>80</v>
      </c>
      <c r="C11" s="65">
        <f>(1-1.89/C8)</f>
        <v>0.80588500085588755</v>
      </c>
      <c r="D11" s="78"/>
      <c r="E11" s="36"/>
      <c r="F11" s="46"/>
      <c r="H11" s="62">
        <f>(Rfbout1s+I11)/(Rdaco1+Rdaco2s)*(X-1.89)</f>
        <v>14.265148167950692</v>
      </c>
      <c r="I11" s="63">
        <f>I10</f>
        <v>4.99</v>
      </c>
      <c r="J11" s="63">
        <f>ROUND((10^(ROUND(96*LOG(((Vout-Vfbout)/(Vfbout/Rfbout2/1000-(Vfbow-Vfbout)/(Rdaco1+Rdaco2s)/1000))/1000-I10),0)/96))/10^INT(LOG((10^(ROUND(96*LOG(((Vout-Vfbout)/(Vfbout/Rfbout2/1000-(Vfbow-Vfbout)/(Rdaco1+Rdaco2s)/1000))/1000-I10),0)/96)))),2)*10^INT(LOG((10^(ROUND(96*LOG(((Vout-Vfbout)/(Vfbout/Rfbout2/1000-(Vfbow-Vfbout)/(Rdaco1+Rdaco2s)/1000))/1000-I10),0)/96))))</f>
        <v>112.99999999999999</v>
      </c>
      <c r="K11" s="63">
        <f>Rfbout2</f>
        <v>10</v>
      </c>
      <c r="L11" s="63">
        <f>Rdaco1</f>
        <v>10</v>
      </c>
      <c r="M11" s="63">
        <f>ROUND((10^(ROUND(96*LOG(Rdaco2),0)/96))/10^INT(LOG((10^(ROUND(96*LOG(Rdaco2),0)/96)))),2)*10^INT(LOG((10^(ROUND(96*LOG(Rdaco2),0)/96))))</f>
        <v>54.900000000000006</v>
      </c>
      <c r="N11" s="64">
        <f>ROUND((10^(ROUND(12*LOG(Cdaco),0)/12))/10^INT(LOG((10^(ROUND(12*LOG(Cdaco),0)/12)))),1)*10^INT(LOG((10^(ROUND(12*LOG(Cdaco),0)/12))))</f>
        <v>0.22000000000000003</v>
      </c>
      <c r="P11" s="129" t="s">
        <v>69</v>
      </c>
      <c r="Q11" s="130"/>
      <c r="R11" s="131"/>
    </row>
    <row r="12" spans="1:18" ht="15" thickBot="1">
      <c r="B12" s="79" t="s">
        <v>81</v>
      </c>
      <c r="C12" s="67">
        <f>1.211*(1+(Rdaco1+Rdaco2ss)/Rfbout2+(Rdaco1+Rdaco2ss)/(Rfbout1ss+I10))</f>
        <v>9.6445419425375043</v>
      </c>
      <c r="D12" s="80"/>
      <c r="E12" s="40"/>
      <c r="F12" s="1"/>
      <c r="G12" s="1"/>
      <c r="H12" s="69">
        <f>(Rfbout1ss+I12)/(Rdaco1+Rdaco2ss)*(Xss-1.89)</f>
        <v>14.251688532710281</v>
      </c>
      <c r="I12" s="70">
        <f>I10</f>
        <v>4.99</v>
      </c>
      <c r="J12" s="70">
        <f>ROUND((10^(ROUND(192*LOG(((Vout-Vfbout)/(Vfbout/Rfbout2/1000-(Vfbow-Vfbout)/(Rdaco1+Rdaco2ss)/1000))/1000-I10),0)/192))/10^INT(LOG((10^(ROUND(192*LOG(((Vout-Vfbout)/(Vfbout/Rfbout2/1000-(Vfbow-Vfbout)/(Rdaco1+Rdaco2ss)/1000))/1000-I10),1)/192)))),2)*10^INT(LOG((10^(ROUND(192*LOG(((Vout-Vfbout)/(Vfbout/Rfbout2/1000-(Vfbow-Vfbout)/(Rdaco1+Rdaco2ss)/1000))/1000-I10),1)/192))))</f>
        <v>112.99999999999999</v>
      </c>
      <c r="K12" s="70">
        <f>Rfbout2</f>
        <v>10</v>
      </c>
      <c r="L12" s="70">
        <f>Rdaco1</f>
        <v>10</v>
      </c>
      <c r="M12" s="70">
        <f>ROUND((10^(ROUND(192*LOG(Rdaco2),0)/192))/10^INT(LOG((10^(ROUND(192*LOG(Rdaco2),1)/192)))),2)*10^INT(LOG((10^(ROUND(192*LOG(Rdaco2),1)/192))))</f>
        <v>54.2</v>
      </c>
      <c r="N12" s="71">
        <f>ROUND((10^(ROUND(12*LOG(Cdaco),0)/12))/10^INT(LOG((10^(ROUND(12*LOG(Cdaco),0)/12)))),1)*10^INT(LOG((10^(ROUND(12*LOG(Cdaco),0)/12))))</f>
        <v>0.22000000000000003</v>
      </c>
      <c r="P12" s="132" t="s">
        <v>70</v>
      </c>
      <c r="Q12" s="133"/>
      <c r="R12" s="134"/>
    </row>
    <row r="13" spans="1:18" ht="15.6">
      <c r="B13" s="79" t="s">
        <v>82</v>
      </c>
      <c r="C13" s="68">
        <f>(Rfbout1ss+I10)/(Rdaco1+Rdaco2ss)*(Xss-1.89)</f>
        <v>14.251688532710281</v>
      </c>
      <c r="D13" s="80" t="s">
        <v>26</v>
      </c>
      <c r="E13" s="36"/>
      <c r="F13" s="1"/>
    </row>
    <row r="14" spans="1:18">
      <c r="B14" s="79" t="s">
        <v>79</v>
      </c>
      <c r="C14" s="68">
        <f>(Xss-1.89)/(Xss-3.3)</f>
        <v>1.2222382660198901</v>
      </c>
      <c r="D14" s="80"/>
      <c r="E14" s="36"/>
      <c r="F14" s="1"/>
    </row>
    <row r="15" spans="1:18" ht="15" thickBot="1">
      <c r="B15" s="81" t="s">
        <v>80</v>
      </c>
      <c r="C15" s="82">
        <f>(1-1.89/Xss)</f>
        <v>0.80403423913124317</v>
      </c>
      <c r="D15" s="83"/>
      <c r="E15" s="36"/>
    </row>
    <row r="16" spans="1:18" ht="15" thickBot="1"/>
    <row r="17" spans="2:5" ht="15.6">
      <c r="B17" s="24" t="s">
        <v>49</v>
      </c>
      <c r="C17" s="95">
        <v>1.21</v>
      </c>
      <c r="D17" s="42" t="s">
        <v>26</v>
      </c>
      <c r="E17" s="5"/>
    </row>
    <row r="18" spans="2:5" ht="16.2" thickBot="1">
      <c r="B18" s="23" t="s">
        <v>50</v>
      </c>
      <c r="C18" s="43">
        <v>1.883</v>
      </c>
      <c r="D18" s="44" t="s">
        <v>26</v>
      </c>
      <c r="E18" s="5"/>
    </row>
    <row r="19" spans="2:5" ht="15" thickBot="1">
      <c r="B19" s="1"/>
      <c r="C19" s="5"/>
      <c r="D19" s="5"/>
    </row>
    <row r="20" spans="2:5" ht="15" thickBot="1">
      <c r="B20" s="126" t="s">
        <v>11</v>
      </c>
      <c r="C20" s="127"/>
      <c r="D20" s="128"/>
    </row>
    <row r="21" spans="2:5">
      <c r="B21" s="25" t="s">
        <v>75</v>
      </c>
      <c r="C21" s="18">
        <v>6</v>
      </c>
      <c r="D21" s="34" t="s">
        <v>13</v>
      </c>
    </row>
    <row r="22" spans="2:5">
      <c r="B22" s="22" t="s">
        <v>2</v>
      </c>
      <c r="C22" s="72">
        <f>ROUND((10^(ROUND(192*LOG(C21),0)/192))/10^INT(LOG((10^(ROUND(192*LOG(C21),1)/192)))),2)*10^INT(LOG((10^(ROUND(192*LOG(C21),1)/192))))</f>
        <v>5.97</v>
      </c>
      <c r="D22" s="20" t="s">
        <v>13</v>
      </c>
    </row>
    <row r="23" spans="2:5" ht="15" thickBot="1">
      <c r="B23" s="23" t="s">
        <v>1</v>
      </c>
      <c r="C23" s="73">
        <f>ROUND((10^(ROUND(96*LOG(C21),0)/96))/10^INT(LOG((10^(ROUND(96*LOG(C21),0)/96)))),2)*10^INT(LOG((10^(ROUND(96*LOG(C21),0)/96))))</f>
        <v>6.04</v>
      </c>
      <c r="D23" s="21" t="s">
        <v>13</v>
      </c>
    </row>
  </sheetData>
  <sheetProtection sheet="1" objects="1" scenarios="1" selectLockedCells="1"/>
  <mergeCells count="13">
    <mergeCell ref="A3:F3"/>
    <mergeCell ref="A2:F2"/>
    <mergeCell ref="A1:F1"/>
    <mergeCell ref="A4:F4"/>
    <mergeCell ref="B7:D7"/>
    <mergeCell ref="P7:R7"/>
    <mergeCell ref="I7:I8"/>
    <mergeCell ref="H7:H8"/>
    <mergeCell ref="B20:D20"/>
    <mergeCell ref="P11:R11"/>
    <mergeCell ref="P12:R12"/>
    <mergeCell ref="P8:R8"/>
    <mergeCell ref="P10:R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S23"/>
  <sheetViews>
    <sheetView workbookViewId="0">
      <pane ySplit="4" topLeftCell="A5" activePane="bottomLeft" state="frozen"/>
      <selection pane="bottomLeft" activeCell="L10" sqref="L10"/>
    </sheetView>
  </sheetViews>
  <sheetFormatPr defaultRowHeight="14.4"/>
  <cols>
    <col min="2" max="2" width="10.5546875" customWidth="1"/>
    <col min="3" max="3" width="12.109375" customWidth="1"/>
    <col min="4" max="4" width="3.6640625" customWidth="1"/>
    <col min="5" max="5" width="1.5546875" customWidth="1"/>
    <col min="6" max="6" width="11.109375" style="3" customWidth="1"/>
    <col min="7" max="7" width="10.5546875" style="3" customWidth="1"/>
    <col min="10" max="10" width="13.109375" customWidth="1"/>
    <col min="11" max="11" width="13.44140625" customWidth="1"/>
    <col min="12" max="13" width="11.5546875" customWidth="1"/>
    <col min="14" max="14" width="11" customWidth="1"/>
    <col min="15" max="15" width="10.33203125" customWidth="1"/>
    <col min="16" max="16" width="4.6640625" customWidth="1"/>
  </cols>
  <sheetData>
    <row r="1" spans="1:19">
      <c r="A1" s="141" t="s">
        <v>10</v>
      </c>
      <c r="B1" s="141"/>
      <c r="C1" s="141"/>
      <c r="D1" s="141"/>
      <c r="E1" s="141"/>
      <c r="F1" s="141"/>
    </row>
    <row r="2" spans="1:19">
      <c r="A2" s="140" t="s">
        <v>73</v>
      </c>
      <c r="B2" s="140"/>
      <c r="C2" s="140"/>
      <c r="D2" s="140"/>
      <c r="E2" s="140"/>
      <c r="F2" s="140"/>
    </row>
    <row r="3" spans="1:19">
      <c r="A3" s="139" t="s">
        <v>72</v>
      </c>
      <c r="B3" s="139"/>
      <c r="C3" s="139"/>
      <c r="D3" s="139"/>
      <c r="E3" s="139"/>
      <c r="F3" s="139"/>
    </row>
    <row r="4" spans="1:19">
      <c r="A4" s="142" t="s">
        <v>74</v>
      </c>
      <c r="B4" s="142"/>
      <c r="C4" s="142"/>
      <c r="D4" s="142"/>
      <c r="E4" s="142"/>
      <c r="F4" s="142"/>
    </row>
    <row r="5" spans="1:19">
      <c r="H5" s="58" t="str">
        <f>CONCATENATE("Tip:   Try  R99  = ", ROUND((10^(ROUND(96*LOG(Rfbout1+I10-Rfbout1s),0)/96))/10^INT(LOG((10^(ROUND(96*LOG(Rfbout1+I10-Rfbout1s),0)/96)))),2)*10^INT(LOG((10^(ROUND(96*LOG(Rfbout1+I10-Rfbout1s),0)/96))))," (increase R99 if #NUM! error shows)")</f>
        <v>Tip:   Try  R99  = 4.32 (increase R99 if #NUM! error shows)</v>
      </c>
    </row>
    <row r="6" spans="1:19" ht="15" thickBot="1"/>
    <row r="7" spans="1:19" ht="16.2" thickBot="1">
      <c r="B7" s="146" t="s">
        <v>76</v>
      </c>
      <c r="C7" s="147"/>
      <c r="D7" s="148"/>
      <c r="E7" s="96"/>
      <c r="F7" s="2"/>
      <c r="H7" s="124" t="s">
        <v>61</v>
      </c>
      <c r="I7" s="122" t="s">
        <v>51</v>
      </c>
      <c r="J7" s="49" t="s">
        <v>85</v>
      </c>
      <c r="K7" s="49" t="s">
        <v>84</v>
      </c>
      <c r="L7" s="49" t="s">
        <v>63</v>
      </c>
      <c r="M7" s="49" t="s">
        <v>64</v>
      </c>
      <c r="N7" s="49" t="s">
        <v>65</v>
      </c>
      <c r="O7" s="50" t="s">
        <v>66</v>
      </c>
      <c r="Q7" s="121" t="s">
        <v>59</v>
      </c>
      <c r="R7" s="121"/>
      <c r="S7" s="121"/>
    </row>
    <row r="8" spans="1:19">
      <c r="B8" s="74" t="s">
        <v>77</v>
      </c>
      <c r="C8" s="105">
        <f>1.211*(1+(Rdaco1+Rdaco2s)/Rfbout2+(Rdaco1+Rdaco2s)/(Rfbout1s+I10+Rfbout1b))</f>
        <v>9.7305587463877252</v>
      </c>
      <c r="D8" s="106"/>
      <c r="E8" s="40"/>
      <c r="F8" s="2"/>
      <c r="H8" s="125"/>
      <c r="I8" s="123"/>
      <c r="J8" s="52" t="s">
        <v>83</v>
      </c>
      <c r="K8" s="52" t="s">
        <v>86</v>
      </c>
      <c r="L8" s="52" t="s">
        <v>53</v>
      </c>
      <c r="M8" s="52" t="s">
        <v>54</v>
      </c>
      <c r="N8" s="52" t="s">
        <v>55</v>
      </c>
      <c r="O8" s="53" t="s">
        <v>56</v>
      </c>
      <c r="Q8" s="135" t="s">
        <v>60</v>
      </c>
      <c r="R8" s="135"/>
      <c r="S8" s="135"/>
    </row>
    <row r="9" spans="1:19" ht="16.2" thickBot="1">
      <c r="B9" s="77" t="s">
        <v>78</v>
      </c>
      <c r="C9" s="103">
        <f>(Rfbout1s+I10+Rfbout1b)/(Rdaco1+Rdaco2s)*(X-1.89)</f>
        <v>28.496255597633137</v>
      </c>
      <c r="D9" s="107" t="s">
        <v>26</v>
      </c>
      <c r="E9" s="36"/>
      <c r="F9" s="99"/>
      <c r="H9" s="51" t="s">
        <v>57</v>
      </c>
      <c r="I9" s="54" t="s">
        <v>67</v>
      </c>
      <c r="J9" s="54" t="s">
        <v>58</v>
      </c>
      <c r="K9" s="54" t="s">
        <v>58</v>
      </c>
      <c r="L9" s="54" t="s">
        <v>58</v>
      </c>
      <c r="M9" s="54" t="s">
        <v>58</v>
      </c>
      <c r="N9" s="54" t="s">
        <v>58</v>
      </c>
      <c r="O9" s="55" t="s">
        <v>68</v>
      </c>
    </row>
    <row r="10" spans="1:19">
      <c r="B10" s="77" t="s">
        <v>79</v>
      </c>
      <c r="C10" s="103">
        <f>(C8-1.89)/(C8-3.3)</f>
        <v>1.2192655499480582</v>
      </c>
      <c r="D10" s="107"/>
      <c r="E10" s="36"/>
      <c r="F10" s="39"/>
      <c r="H10" s="56">
        <v>28.4</v>
      </c>
      <c r="I10" s="57">
        <v>4.99</v>
      </c>
      <c r="J10" s="59">
        <f>((Vout-Vfbout)/(Vfbout/Rfbout2/1000-(Vfbow-Vfbout)/(Rdaco1+Rdaco2)/1000))/1000-I10-Rfbout1b</f>
        <v>204.27991291027743</v>
      </c>
      <c r="K10" s="59">
        <f>ROUND((10^(ROUND(96*LOG(3.57*Rfbout2),0)/96))/10^INT(LOG((10^(ROUND(96*LOG(3.57*Rfbout2),0)/96)))),2)*10^INT(LOG((10^(ROUND(96*LOG(3.57*Rfbout2),0)/96))))</f>
        <v>35.699999999999996</v>
      </c>
      <c r="L10" s="57">
        <v>10</v>
      </c>
      <c r="M10" s="60">
        <f>Rfbout2</f>
        <v>10</v>
      </c>
      <c r="N10" s="59">
        <f>(7/(0.000111/(Vout-Vfbout)+1/Rfbout2/1000)-Rdaco1*1000)/1000</f>
        <v>57.254416961130744</v>
      </c>
      <c r="O10" s="61">
        <f>1/0.5/Rdaco1</f>
        <v>0.2</v>
      </c>
      <c r="Q10" s="136" t="s">
        <v>71</v>
      </c>
      <c r="R10" s="137"/>
      <c r="S10" s="138"/>
    </row>
    <row r="11" spans="1:19" ht="15" thickBot="1">
      <c r="B11" s="113" t="s">
        <v>80</v>
      </c>
      <c r="C11" s="114">
        <f>(1-1.89/C8)</f>
        <v>0.80576654956205629</v>
      </c>
      <c r="D11" s="115"/>
      <c r="E11" s="36"/>
      <c r="F11" s="2"/>
      <c r="G11" s="97"/>
      <c r="H11" s="118">
        <f>(Rfbout1s+I11+Rfbout1b)/(Rdaco1+Rdaco2s)*(X-1.89)</f>
        <v>28.496255597633137</v>
      </c>
      <c r="I11" s="100">
        <f>I10</f>
        <v>4.99</v>
      </c>
      <c r="J11" s="100">
        <f>ROUND((10^(ROUND(96*LOG(((Vout-Vfbout)/(Vfbout/Rfbout2/1000-(Vfbow-Vfbout)/(Rdaco1+Rdaco2s)/1000))/1000-I10-Rfbout1b),0)/96))/10^INT(LOG((10^(ROUND(96*LOG(((Vout-Vfbout)/(Vfbout/Rfbout2/1000-(Vfbow-Vfbout)/(Rdaco1+Rdaco2s)/1000))/1000-I10),0)/96)))),2)*10^INT(LOG((10^(ROUND(96*LOG(((Vout-Vfbout)/(Vfbout/Rfbout2/1000-(Vfbow-Vfbout)/(Rdaco1+Rdaco2s)/1000))/1000-I10),0)/96))))</f>
        <v>204.99999999999997</v>
      </c>
      <c r="K11" s="100">
        <f>Rfbout1b</f>
        <v>35.699999999999996</v>
      </c>
      <c r="L11" s="100">
        <f>Rfbout2</f>
        <v>10</v>
      </c>
      <c r="M11" s="100">
        <f>Rdaco1</f>
        <v>10</v>
      </c>
      <c r="N11" s="100">
        <f>ROUND((10^(ROUND(96*LOG(Rdaco2),0)/96))/10^INT(LOG((10^(ROUND(96*LOG(Rdaco2),0)/96)))),2)*10^INT(LOG((10^(ROUND(96*LOG(Rdaco2),0)/96))))</f>
        <v>57.599999999999994</v>
      </c>
      <c r="O11" s="101">
        <f>ROUND((10^(ROUND(12*LOG(Cdaco),0)/12))/10^INT(LOG((10^(ROUND(12*LOG(Cdaco),0)/12)))),1)*10^INT(LOG((10^(ROUND(12*LOG(Cdaco),0)/12))))</f>
        <v>0.22000000000000003</v>
      </c>
      <c r="Q11" s="129" t="s">
        <v>69</v>
      </c>
      <c r="R11" s="130"/>
      <c r="S11" s="131"/>
    </row>
    <row r="12" spans="1:19" ht="15" thickBot="1">
      <c r="B12" s="102" t="s">
        <v>81</v>
      </c>
      <c r="C12" s="111">
        <f>1.211*(1+(Rdaco1+Rdaco2ss)/Rfbout2+(Rdaco1+Rdaco2ss)/(Rfbout1ss+I10+Rfbout1b))</f>
        <v>9.6423384635109297</v>
      </c>
      <c r="D12" s="112"/>
      <c r="E12" s="40"/>
      <c r="F12" s="2"/>
      <c r="G12" s="98"/>
      <c r="H12" s="119">
        <f>(Rfbout1ss+I12+Rfbout1b)/(Rdaco1+Rdaco2ss)*(Xss-1.89)</f>
        <v>28.470434037369209</v>
      </c>
      <c r="I12" s="70">
        <f>I10</f>
        <v>4.99</v>
      </c>
      <c r="J12" s="70">
        <f>ROUND((10^(ROUND(192*LOG(((Vout-Vfbout)/(Vfbout/Rfbout2/1000-(Vfbow-Vfbout)/(Rdaco1+Rdaco2ss)/1000))/1000-I10-Rfbout1b),0)/192))/10^INT(LOG((10^(ROUND(192*LOG(((Vout-Vfbout)/(Vfbout/Rfbout2/1000-(Vfbow-Vfbout)/(Rdaco1+Rdaco2ss)/1000))/1000-I10),1)/192)))),2)*10^INT(LOG((10^(ROUND(192*LOG(((Vout-Vfbout)/(Vfbout/Rfbout2/1000-(Vfbow-Vfbout)/(Rdaco1+Rdaco2ss)/1000))/1000-I10),1)/192))))</f>
        <v>204.99999999999997</v>
      </c>
      <c r="K12" s="70">
        <f>Rfbout1b</f>
        <v>35.699999999999996</v>
      </c>
      <c r="L12" s="70">
        <f>Rfbout2</f>
        <v>10</v>
      </c>
      <c r="M12" s="70">
        <f>Rdaco1</f>
        <v>10</v>
      </c>
      <c r="N12" s="70">
        <f>ROUND((10^(ROUND(192*LOG(Rdaco2),0)/192))/10^INT(LOG((10^(ROUND(192*LOG(Rdaco2),1)/192)))),2)*10^INT(LOG((10^(ROUND(192*LOG(Rdaco2),1)/192))))</f>
        <v>56.900000000000006</v>
      </c>
      <c r="O12" s="71">
        <f>ROUND((10^(ROUND(12*LOG(Cdaco),0)/12))/10^INT(LOG((10^(ROUND(12*LOG(Cdaco),0)/12)))),1)*10^INT(LOG((10^(ROUND(12*LOG(Cdaco),0)/12))))</f>
        <v>0.22000000000000003</v>
      </c>
      <c r="Q12" s="132" t="s">
        <v>70</v>
      </c>
      <c r="R12" s="133"/>
      <c r="S12" s="134"/>
    </row>
    <row r="13" spans="1:19" ht="15.6">
      <c r="B13" s="79" t="s">
        <v>82</v>
      </c>
      <c r="C13" s="104">
        <f>(Rfbout1ss+I10+Rfbout1b)/(Rdaco1+Rdaco2ss)*(Xss-1.89)</f>
        <v>28.470434037369209</v>
      </c>
      <c r="D13" s="108" t="s">
        <v>26</v>
      </c>
      <c r="E13" s="36"/>
      <c r="F13" s="2"/>
      <c r="G13" s="2"/>
    </row>
    <row r="14" spans="1:19">
      <c r="B14" s="79" t="s">
        <v>79</v>
      </c>
      <c r="C14" s="104">
        <f>(Xss-1.89)/(Xss-3.3)</f>
        <v>1.2223154768721483</v>
      </c>
      <c r="D14" s="108"/>
      <c r="E14" s="35"/>
      <c r="F14" s="2"/>
      <c r="G14" s="2"/>
      <c r="I14" s="3"/>
      <c r="J14" s="3"/>
      <c r="K14" s="3"/>
    </row>
    <row r="15" spans="1:19" ht="15" thickBot="1">
      <c r="B15" s="81" t="s">
        <v>80</v>
      </c>
      <c r="C15" s="109">
        <f>(1-1.89/Xss)</f>
        <v>0.80398945679492151</v>
      </c>
      <c r="D15" s="110"/>
      <c r="E15" s="35"/>
      <c r="H15" s="58"/>
      <c r="I15" s="36"/>
      <c r="J15" s="116"/>
      <c r="K15" s="117"/>
      <c r="L15" s="58"/>
      <c r="M15" s="58"/>
      <c r="N15" s="58"/>
      <c r="O15" s="58"/>
      <c r="P15" s="58"/>
      <c r="Q15" s="1"/>
    </row>
    <row r="16" spans="1:19" ht="15" thickBot="1">
      <c r="I16" s="3"/>
      <c r="J16" s="3"/>
      <c r="K16" s="3"/>
    </row>
    <row r="17" spans="2:5" ht="15.6">
      <c r="B17" s="24" t="s">
        <v>49</v>
      </c>
      <c r="C17" s="41">
        <v>1.21</v>
      </c>
      <c r="D17" s="42" t="s">
        <v>26</v>
      </c>
      <c r="E17" s="5"/>
    </row>
    <row r="18" spans="2:5" ht="16.2" thickBot="1">
      <c r="B18" s="23" t="s">
        <v>50</v>
      </c>
      <c r="C18" s="43">
        <v>1.883</v>
      </c>
      <c r="D18" s="44" t="s">
        <v>26</v>
      </c>
      <c r="E18" s="5"/>
    </row>
    <row r="19" spans="2:5" ht="15" thickBot="1">
      <c r="B19" s="37"/>
      <c r="C19" s="38"/>
    </row>
    <row r="20" spans="2:5" ht="15" thickBot="1">
      <c r="B20" s="146" t="s">
        <v>11</v>
      </c>
      <c r="C20" s="147"/>
      <c r="D20" s="148"/>
    </row>
    <row r="21" spans="2:5">
      <c r="B21" s="24" t="s">
        <v>0</v>
      </c>
      <c r="C21" s="28">
        <v>4.95</v>
      </c>
      <c r="D21" s="29" t="s">
        <v>13</v>
      </c>
    </row>
    <row r="22" spans="2:5">
      <c r="B22" s="22" t="s">
        <v>2</v>
      </c>
      <c r="C22" s="72">
        <f>ROUND((10^(ROUND(192*LOG(C21),0)/192))/10^INT(LOG((10^(ROUND(192*LOG(C21),1)/192)))),2)*10^INT(LOG((10^(ROUND(192*LOG(C21),1)/192))))</f>
        <v>4.93</v>
      </c>
      <c r="D22" s="20" t="s">
        <v>13</v>
      </c>
    </row>
    <row r="23" spans="2:5" ht="15" thickBot="1">
      <c r="B23" s="23" t="s">
        <v>1</v>
      </c>
      <c r="C23" s="73">
        <f>ROUND((10^(ROUND(96*LOG(C21),0)/96))/10^INT(LOG((10^(ROUND(96*LOG(C21),0)/96)))),2)*10^INT(LOG((10^(ROUND(96*LOG(C21),0)/96))))</f>
        <v>4.99</v>
      </c>
      <c r="D23" s="21" t="s">
        <v>13</v>
      </c>
    </row>
  </sheetData>
  <sheetProtection sheet="1" objects="1" scenarios="1" selectLockedCells="1"/>
  <mergeCells count="13">
    <mergeCell ref="Q11:S11"/>
    <mergeCell ref="Q12:S12"/>
    <mergeCell ref="H7:H8"/>
    <mergeCell ref="I7:I8"/>
    <mergeCell ref="Q7:S7"/>
    <mergeCell ref="Q8:S8"/>
    <mergeCell ref="Q10:S10"/>
    <mergeCell ref="B20:D20"/>
    <mergeCell ref="A1:F1"/>
    <mergeCell ref="A2:F2"/>
    <mergeCell ref="A3:F3"/>
    <mergeCell ref="A4:F4"/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K34"/>
  <sheetViews>
    <sheetView zoomScale="85" zoomScaleNormal="85" workbookViewId="0">
      <pane ySplit="3" topLeftCell="A4" activePane="bottomLeft" state="frozen"/>
      <selection pane="bottomLeft" activeCell="C5" sqref="C5"/>
    </sheetView>
  </sheetViews>
  <sheetFormatPr defaultRowHeight="14.4"/>
  <cols>
    <col min="1" max="1" width="6.88671875" customWidth="1"/>
    <col min="2" max="2" width="13" customWidth="1"/>
    <col min="3" max="3" width="18.5546875" customWidth="1"/>
    <col min="4" max="4" width="4.6640625" customWidth="1"/>
    <col min="5" max="5" width="5" style="3" customWidth="1"/>
    <col min="6" max="6" width="12.6640625" customWidth="1"/>
    <col min="7" max="7" width="10.5546875" customWidth="1"/>
    <col min="10" max="10" width="12.5546875" customWidth="1"/>
    <col min="11" max="11" width="12.33203125" customWidth="1"/>
  </cols>
  <sheetData>
    <row r="1" spans="2:11">
      <c r="B1" s="152" t="s">
        <v>10</v>
      </c>
      <c r="C1" s="153"/>
    </row>
    <row r="2" spans="2:11">
      <c r="B2" s="156" t="s">
        <v>24</v>
      </c>
      <c r="C2" s="157"/>
    </row>
    <row r="3" spans="2:11">
      <c r="B3" s="154" t="s">
        <v>48</v>
      </c>
      <c r="C3" s="155"/>
    </row>
    <row r="4" spans="2:11" ht="15" thickBot="1">
      <c r="D4" s="7"/>
      <c r="E4" s="12"/>
    </row>
    <row r="5" spans="2:11" ht="15.6">
      <c r="B5" s="24" t="s">
        <v>21</v>
      </c>
      <c r="C5" s="28">
        <v>54</v>
      </c>
      <c r="D5" s="32" t="s">
        <v>26</v>
      </c>
      <c r="F5" s="15" t="s">
        <v>18</v>
      </c>
      <c r="G5" s="16" t="s">
        <v>15</v>
      </c>
      <c r="H5" s="16" t="s">
        <v>17</v>
      </c>
      <c r="I5" s="16" t="s">
        <v>3</v>
      </c>
      <c r="J5" s="16" t="s">
        <v>5</v>
      </c>
      <c r="K5" s="17" t="s">
        <v>4</v>
      </c>
    </row>
    <row r="6" spans="2:11" ht="16.2" thickBot="1">
      <c r="B6" s="22" t="s">
        <v>22</v>
      </c>
      <c r="C6" s="4">
        <v>3.3</v>
      </c>
      <c r="D6" s="8" t="s">
        <v>26</v>
      </c>
      <c r="E6" s="2"/>
      <c r="F6" s="84">
        <f>Rfbin2/Vfbin*(Vdac-Vfbin+(Vinmin-Vfbin)*Vdac/(Vmax-Vinmin))</f>
        <v>7.0023267634854767</v>
      </c>
      <c r="G6" s="85">
        <f>MAX(J6,K6)*1.01</f>
        <v>103.08831003145741</v>
      </c>
      <c r="H6" s="86">
        <f>ROUND((10^(ROUND(96*LOG(F6-C14),0)/96))/10^INT(LOG((10^(ROUND(96*LOG(F6-C14),0)/96)))),2)*10^INT(LOG((10^(ROUND(96*LOG(F6-C14),0)/96))))</f>
        <v>5.9</v>
      </c>
      <c r="I6" s="86">
        <f>ROUND((10^(ROUND(96*LOG(G6),0)/96))/10^INT(LOG((10^(ROUND(96*LOG(G6),0)/96)))),2)*10^INT(LOG((10^(ROUND(96*LOG(G6),0)/96))))</f>
        <v>102</v>
      </c>
      <c r="J6" s="85">
        <f>(Vinmin-Vfbin)/(Vfbin/Rfbin2-(Vdac-Vfbin)/(C14+H6))</f>
        <v>102.06763369451228</v>
      </c>
      <c r="K6" s="87">
        <f>(Vmax-Vinmin)/Vdac*(C14+H6)</f>
        <v>101.81818181818183</v>
      </c>
    </row>
    <row r="7" spans="2:11" ht="15.6">
      <c r="B7" s="22" t="s">
        <v>19</v>
      </c>
      <c r="C7" s="4">
        <v>1.2050000000000001</v>
      </c>
      <c r="D7" s="8" t="s">
        <v>26</v>
      </c>
      <c r="E7" s="2"/>
    </row>
    <row r="8" spans="2:11" ht="15.6">
      <c r="B8" s="22" t="s">
        <v>20</v>
      </c>
      <c r="C8" s="4">
        <v>6</v>
      </c>
      <c r="D8" s="8" t="s">
        <v>26</v>
      </c>
    </row>
    <row r="9" spans="2:11" ht="15.6">
      <c r="B9" s="22" t="s">
        <v>46</v>
      </c>
      <c r="C9" s="88">
        <f>Vfbin*(I6/(C14+H6)+I6/Rfbin2+1)</f>
        <v>54.082536945812805</v>
      </c>
      <c r="D9" s="8" t="s">
        <v>26</v>
      </c>
      <c r="E9" s="33"/>
    </row>
    <row r="10" spans="2:11" ht="16.2" thickBot="1">
      <c r="B10" s="23" t="s">
        <v>47</v>
      </c>
      <c r="C10" s="89">
        <f>C9-Vdac*I6/(C14+H6)</f>
        <v>5.9968226600985233</v>
      </c>
      <c r="D10" s="11" t="s">
        <v>26</v>
      </c>
      <c r="E10" s="33"/>
    </row>
    <row r="11" spans="2:11" ht="15" thickBot="1">
      <c r="D11" s="13"/>
      <c r="E11" s="13"/>
      <c r="G11" s="1"/>
    </row>
    <row r="12" spans="2:11" ht="16.2" thickBot="1">
      <c r="B12" s="161" t="s">
        <v>43</v>
      </c>
      <c r="C12" s="162"/>
      <c r="D12" s="163"/>
      <c r="E12" s="13"/>
    </row>
    <row r="13" spans="2:11" ht="15.6">
      <c r="B13" s="24" t="s">
        <v>14</v>
      </c>
      <c r="C13" s="28">
        <v>3.48</v>
      </c>
      <c r="D13" s="29" t="s">
        <v>13</v>
      </c>
      <c r="G13" s="1"/>
    </row>
    <row r="14" spans="2:11" ht="15.6">
      <c r="B14" s="22" t="s">
        <v>16</v>
      </c>
      <c r="C14" s="6">
        <v>1.1000000000000001</v>
      </c>
      <c r="D14" s="20" t="s">
        <v>13</v>
      </c>
      <c r="E14" s="30" t="str">
        <f>CONCATENATE(ROUND((10^(ROUND(96*LOG(F6/5),0)/96))/10^INT(LOG((10^(ROUND(96*LOG(F6/5),0)/96)))),2)*10^INT(LOG((10^(ROUND(96*LOG(F6/5),0)/96)))),"k")</f>
        <v>1.4k</v>
      </c>
      <c r="F14" s="31" t="s">
        <v>6</v>
      </c>
    </row>
    <row r="15" spans="2:11" ht="15.6">
      <c r="B15" s="22" t="s">
        <v>17</v>
      </c>
      <c r="C15" s="90">
        <f>ROUND((10^(ROUND(96*LOG(F6-C14),0)/96))/10^INT(LOG((10^(ROUND(96*LOG(F6-C14),0)/96)))),2)*10^INT(LOG((10^(ROUND(96*LOG(F6-C14),0)/96))))</f>
        <v>5.9</v>
      </c>
      <c r="D15" s="20" t="s">
        <v>13</v>
      </c>
    </row>
    <row r="16" spans="2:11" ht="15.6">
      <c r="B16" s="22" t="s">
        <v>15</v>
      </c>
      <c r="C16" s="90">
        <f>I6</f>
        <v>102</v>
      </c>
      <c r="D16" s="20" t="s">
        <v>13</v>
      </c>
    </row>
    <row r="17" spans="2:9" ht="16.2" thickBot="1">
      <c r="B17" s="23" t="s">
        <v>23</v>
      </c>
      <c r="C17" s="91">
        <f>1/C14</f>
        <v>0.90909090909090906</v>
      </c>
      <c r="D17" s="11" t="s">
        <v>12</v>
      </c>
    </row>
    <row r="18" spans="2:9" ht="15" thickBot="1"/>
    <row r="19" spans="2:9" ht="16.2" thickBot="1">
      <c r="B19" s="161" t="s">
        <v>11</v>
      </c>
      <c r="C19" s="162"/>
      <c r="D19" s="163"/>
    </row>
    <row r="20" spans="2:9">
      <c r="B20" s="24" t="s">
        <v>0</v>
      </c>
      <c r="C20" s="28">
        <v>96</v>
      </c>
      <c r="D20" s="29" t="s">
        <v>13</v>
      </c>
    </row>
    <row r="21" spans="2:9">
      <c r="B21" s="22" t="s">
        <v>2</v>
      </c>
      <c r="C21" s="92">
        <f>ROUND((10^(ROUND(192*LOG(C20),0)/192))/10^INT(LOG((10^(ROUND(192*LOG(C20),1)/192)))),2)*10^INT(LOG((10^(ROUND(192*LOG(C20),1)/192))))</f>
        <v>96.5</v>
      </c>
      <c r="D21" s="20" t="s">
        <v>13</v>
      </c>
    </row>
    <row r="22" spans="2:9" ht="15" thickBot="1">
      <c r="B22" s="23" t="s">
        <v>1</v>
      </c>
      <c r="C22" s="93">
        <f>ROUND((10^(ROUND(96*LOG(C20),0)/96))/10^INT(LOG((10^(ROUND(96*LOG(C20),0)/96)))),2)*10^INT(LOG((10^(ROUND(96*LOG(C20),0)/96))))</f>
        <v>95.3</v>
      </c>
      <c r="D22" s="21" t="s">
        <v>13</v>
      </c>
    </row>
    <row r="23" spans="2:9" ht="18" customHeight="1" thickBot="1"/>
    <row r="24" spans="2:9" ht="30.75" customHeight="1" thickBot="1">
      <c r="B24" s="158" t="s">
        <v>25</v>
      </c>
      <c r="C24" s="159"/>
      <c r="D24" s="160"/>
      <c r="E24" s="14"/>
      <c r="G24" s="149" t="s">
        <v>38</v>
      </c>
      <c r="H24" s="150"/>
      <c r="I24" s="151"/>
    </row>
    <row r="25" spans="2:9" ht="16.8">
      <c r="B25" s="25" t="s">
        <v>39</v>
      </c>
      <c r="C25" s="18">
        <v>3.48</v>
      </c>
      <c r="D25" s="34" t="s">
        <v>13</v>
      </c>
      <c r="E25" s="12"/>
      <c r="G25" s="25" t="s">
        <v>37</v>
      </c>
      <c r="H25" s="18">
        <v>-0.3</v>
      </c>
      <c r="I25" s="19" t="s">
        <v>28</v>
      </c>
    </row>
    <row r="26" spans="2:9" ht="15.6">
      <c r="B26" s="22" t="s">
        <v>40</v>
      </c>
      <c r="C26" s="6">
        <v>1.1000000000000001</v>
      </c>
      <c r="D26" s="20" t="s">
        <v>13</v>
      </c>
      <c r="E26" s="12"/>
      <c r="G26" s="22" t="s">
        <v>36</v>
      </c>
      <c r="H26" s="6">
        <v>37.799999999999997</v>
      </c>
      <c r="I26" s="8" t="s">
        <v>26</v>
      </c>
    </row>
    <row r="27" spans="2:9" ht="16.8">
      <c r="B27" s="22" t="s">
        <v>41</v>
      </c>
      <c r="C27" s="6">
        <v>5.9</v>
      </c>
      <c r="D27" s="20" t="s">
        <v>13</v>
      </c>
      <c r="E27" s="12"/>
      <c r="G27" s="22" t="s">
        <v>34</v>
      </c>
      <c r="H27" s="6">
        <v>-40</v>
      </c>
      <c r="I27" s="8" t="s">
        <v>27</v>
      </c>
    </row>
    <row r="28" spans="2:9" ht="15.6">
      <c r="B28" s="22" t="s">
        <v>42</v>
      </c>
      <c r="C28" s="6">
        <v>102</v>
      </c>
      <c r="D28" s="20" t="s">
        <v>13</v>
      </c>
      <c r="E28" s="12"/>
      <c r="G28" s="22" t="s">
        <v>32</v>
      </c>
      <c r="H28" s="92">
        <f>(1+(H27-25)*H25/100)*H26</f>
        <v>45.170999999999999</v>
      </c>
      <c r="I28" s="8" t="s">
        <v>26</v>
      </c>
    </row>
    <row r="29" spans="2:9" ht="15.6">
      <c r="B29" s="22" t="s">
        <v>44</v>
      </c>
      <c r="C29" s="68">
        <f>C7*(C28/(C26+C27)+C28/C25+1)</f>
        <v>54.082536945812805</v>
      </c>
      <c r="D29" s="20" t="s">
        <v>26</v>
      </c>
      <c r="G29" s="26" t="s">
        <v>31</v>
      </c>
      <c r="H29" s="6">
        <v>31.1</v>
      </c>
      <c r="I29" s="9" t="s">
        <v>26</v>
      </c>
    </row>
    <row r="30" spans="2:9" ht="17.399999999999999" thickBot="1">
      <c r="B30" s="23" t="s">
        <v>45</v>
      </c>
      <c r="C30" s="91">
        <f>C29-C6*(C28/(C26+C27))</f>
        <v>5.9968226600985233</v>
      </c>
      <c r="D30" s="21" t="s">
        <v>26</v>
      </c>
      <c r="G30" s="26" t="s">
        <v>33</v>
      </c>
      <c r="H30" s="6">
        <v>-0.45</v>
      </c>
      <c r="I30" s="9" t="s">
        <v>28</v>
      </c>
    </row>
    <row r="31" spans="2:9" ht="16.8">
      <c r="G31" s="22" t="s">
        <v>35</v>
      </c>
      <c r="H31" s="6">
        <v>90</v>
      </c>
      <c r="I31" s="8" t="s">
        <v>27</v>
      </c>
    </row>
    <row r="32" spans="2:9" ht="16.2">
      <c r="G32" s="26" t="s">
        <v>7</v>
      </c>
      <c r="H32" s="6">
        <v>0</v>
      </c>
      <c r="I32" s="8" t="s">
        <v>27</v>
      </c>
    </row>
    <row r="33" spans="7:9">
      <c r="G33" s="26" t="s">
        <v>8</v>
      </c>
      <c r="H33" s="6">
        <v>8.0500000000000007</v>
      </c>
      <c r="I33" s="8" t="s">
        <v>29</v>
      </c>
    </row>
    <row r="34" spans="7:9" ht="16.2" thickBot="1">
      <c r="G34" s="27" t="s">
        <v>30</v>
      </c>
      <c r="H34" s="94">
        <f>(1+(H32-25)*H30/100)*H29*H33</f>
        <v>278.51993750000003</v>
      </c>
      <c r="I34" s="10" t="s">
        <v>9</v>
      </c>
    </row>
  </sheetData>
  <sheetProtection sheet="1" objects="1" scenarios="1" selectLockedCells="1"/>
  <mergeCells count="7">
    <mergeCell ref="G24:I24"/>
    <mergeCell ref="B1:C1"/>
    <mergeCell ref="B3:C3"/>
    <mergeCell ref="B2:C2"/>
    <mergeCell ref="B24:D24"/>
    <mergeCell ref="B19:D19"/>
    <mergeCell ref="B12:D1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Output network</vt:lpstr>
      <vt:lpstr>Output network (2)</vt:lpstr>
      <vt:lpstr>Input network</vt:lpstr>
      <vt:lpstr>a</vt:lpstr>
      <vt:lpstr>b</vt:lpstr>
      <vt:lpstr>'Output network (2)'!Cdaco</vt:lpstr>
      <vt:lpstr>Cdaco</vt:lpstr>
      <vt:lpstr>'Output network (2)'!Rdaco1</vt:lpstr>
      <vt:lpstr>Rdaco1</vt:lpstr>
      <vt:lpstr>'Output network (2)'!Rdaco2</vt:lpstr>
      <vt:lpstr>Rdaco2</vt:lpstr>
      <vt:lpstr>'Output network (2)'!Rdaco2s</vt:lpstr>
      <vt:lpstr>Rdaco2s</vt:lpstr>
      <vt:lpstr>'Output network (2)'!Rdaco2ss</vt:lpstr>
      <vt:lpstr>Rdaco2ss</vt:lpstr>
      <vt:lpstr>Rfbin2</vt:lpstr>
      <vt:lpstr>'Output network (2)'!Rfbout1</vt:lpstr>
      <vt:lpstr>Rfbout1</vt:lpstr>
      <vt:lpstr>'Output network (2)'!Rfbout1a</vt:lpstr>
      <vt:lpstr>Rfbout1a</vt:lpstr>
      <vt:lpstr>'Output network (2)'!Rfbout1b</vt:lpstr>
      <vt:lpstr>'Output network (2)'!Rfbout1s</vt:lpstr>
      <vt:lpstr>Rfbout1s</vt:lpstr>
      <vt:lpstr>'Output network (2)'!Rfbout1ss</vt:lpstr>
      <vt:lpstr>Rfbout1ss</vt:lpstr>
      <vt:lpstr>'Output network (2)'!Rfbout2</vt:lpstr>
      <vt:lpstr>Rfbout2</vt:lpstr>
      <vt:lpstr>Vdac</vt:lpstr>
      <vt:lpstr>Vfbin</vt:lpstr>
      <vt:lpstr>'Output network (2)'!Vfbout</vt:lpstr>
      <vt:lpstr>Vfbout</vt:lpstr>
      <vt:lpstr>'Output network'!Vfbow</vt:lpstr>
      <vt:lpstr>'Output network (2)'!Vfbow</vt:lpstr>
      <vt:lpstr>Vinmin</vt:lpstr>
      <vt:lpstr>Vmax</vt:lpstr>
      <vt:lpstr>'Output network (2)'!Vout</vt:lpstr>
      <vt:lpstr>Vout</vt:lpstr>
      <vt:lpstr>'Output network (2)'!X</vt:lpstr>
      <vt:lpstr>X</vt:lpstr>
      <vt:lpstr>'Output network (2)'!Xss</vt:lpstr>
      <vt:lpstr>Xss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dsnell</dc:creator>
  <cp:lastModifiedBy>tage_b</cp:lastModifiedBy>
  <cp:lastPrinted>2013-11-27T00:06:53Z</cp:lastPrinted>
  <dcterms:created xsi:type="dcterms:W3CDTF">2011-09-16T16:46:20Z</dcterms:created>
  <dcterms:modified xsi:type="dcterms:W3CDTF">2014-11-06T21:10:58Z</dcterms:modified>
</cp:coreProperties>
</file>