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4 - AB Testing" sheetId="1" r:id="rId4"/>
  </sheets>
  <definedNames/>
  <calcPr/>
</workbook>
</file>

<file path=xl/sharedStrings.xml><?xml version="1.0" encoding="utf-8"?>
<sst xmlns="http://schemas.openxmlformats.org/spreadsheetml/2006/main" count="18" uniqueCount="15">
  <si>
    <t>Group</t>
  </si>
  <si>
    <t>Converted</t>
  </si>
  <si>
    <t>Grand Total</t>
  </si>
  <si>
    <t>Yes</t>
  </si>
  <si>
    <t>No</t>
  </si>
  <si>
    <t>control</t>
  </si>
  <si>
    <t>treatment</t>
  </si>
  <si>
    <t>%Converted</t>
  </si>
  <si>
    <t xml:space="preserve"> Null hypothesis (H0): The new_page has an equal or worse conversion rate compared to the old_page.
 Alternative hypothesis (Ha): The new_page has a better conversion rate compared to the old_page.</t>
  </si>
  <si>
    <t>Pooled proportion</t>
  </si>
  <si>
    <t>z-value</t>
  </si>
  <si>
    <t>α</t>
  </si>
  <si>
    <t>p-value</t>
  </si>
  <si>
    <t>Conclusion:</t>
  </si>
  <si>
    <r>
      <rPr>
        <rFont val="Arial"/>
        <color theme="1"/>
      </rPr>
      <t xml:space="preserve">p-value is bigger than significant level, which means </t>
    </r>
    <r>
      <rPr>
        <rFont val="Arial"/>
        <b/>
        <color theme="1"/>
      </rPr>
      <t>it fails to reject the null hyphothesis.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</si>
</sst>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2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5.0"/>
  </cols>
  <sheetData>
    <row r="1">
      <c r="A1" s="1" t="str">
        <f>IFERROR(__xludf.DUMMYFUNCTION("IMPORTRANGE(""https://docs.google.com/spreadsheets/d/1O7krCsGMMmP_ddjb0bXD0sJshRL29qBAgc399j5ihDE/edit#gid=842283717"",""ab_data!A1:E5001"")"),"user_id")</f>
        <v>user_id</v>
      </c>
      <c r="B1" s="1" t="str">
        <f>IFERROR(__xludf.DUMMYFUNCTION("""COMPUTED_VALUE"""),"timestamp")</f>
        <v>timestamp</v>
      </c>
      <c r="C1" s="1" t="str">
        <f>IFERROR(__xludf.DUMMYFUNCTION("""COMPUTED_VALUE"""),"group")</f>
        <v>group</v>
      </c>
      <c r="D1" s="1" t="str">
        <f>IFERROR(__xludf.DUMMYFUNCTION("""COMPUTED_VALUE"""),"landing_page")</f>
        <v>landing_page</v>
      </c>
      <c r="E1" s="1" t="str">
        <f>IFERROR(__xludf.DUMMYFUNCTION("""COMPUTED_VALUE"""),"converted")</f>
        <v>converted</v>
      </c>
    </row>
    <row r="2">
      <c r="A2" s="1">
        <f>IFERROR(__xludf.DUMMYFUNCTION("""COMPUTED_VALUE"""),851104.0)</f>
        <v>851104</v>
      </c>
      <c r="B2" s="2">
        <f>IFERROR(__xludf.DUMMYFUNCTION("""COMPUTED_VALUE"""),42756.92486755485)</f>
        <v>42756.92487</v>
      </c>
      <c r="C2" s="1" t="str">
        <f>IFERROR(__xludf.DUMMYFUNCTION("""COMPUTED_VALUE"""),"control")</f>
        <v>control</v>
      </c>
      <c r="D2" s="1" t="str">
        <f>IFERROR(__xludf.DUMMYFUNCTION("""COMPUTED_VALUE"""),"old_page")</f>
        <v>old_page</v>
      </c>
      <c r="E2" s="1">
        <f>IFERROR(__xludf.DUMMYFUNCTION("""COMPUTED_VALUE"""),0.0)</f>
        <v>0</v>
      </c>
      <c r="G2" s="3" t="s">
        <v>0</v>
      </c>
      <c r="H2" s="4" t="s">
        <v>1</v>
      </c>
      <c r="I2" s="5"/>
      <c r="J2" s="6" t="s">
        <v>2</v>
      </c>
    </row>
    <row r="3">
      <c r="A3" s="1">
        <f>IFERROR(__xludf.DUMMYFUNCTION("""COMPUTED_VALUE"""),804228.0)</f>
        <v>804228</v>
      </c>
      <c r="B3" s="2">
        <f>IFERROR(__xludf.DUMMYFUNCTION("""COMPUTED_VALUE"""),42747.33455045994)</f>
        <v>42747.33455</v>
      </c>
      <c r="C3" s="1" t="str">
        <f>IFERROR(__xludf.DUMMYFUNCTION("""COMPUTED_VALUE"""),"control")</f>
        <v>control</v>
      </c>
      <c r="D3" s="1" t="str">
        <f>IFERROR(__xludf.DUMMYFUNCTION("""COMPUTED_VALUE"""),"old_page")</f>
        <v>old_page</v>
      </c>
      <c r="E3" s="1">
        <f>IFERROR(__xludf.DUMMYFUNCTION("""COMPUTED_VALUE"""),0.0)</f>
        <v>0</v>
      </c>
      <c r="G3" s="7"/>
      <c r="H3" s="8" t="s">
        <v>3</v>
      </c>
      <c r="I3" s="8" t="s">
        <v>4</v>
      </c>
    </row>
    <row r="4">
      <c r="A4" s="1">
        <f>IFERROR(__xludf.DUMMYFUNCTION("""COMPUTED_VALUE"""),661590.0)</f>
        <v>661590</v>
      </c>
      <c r="B4" s="2">
        <f>IFERROR(__xludf.DUMMYFUNCTION("""COMPUTED_VALUE"""),42746.70493234043)</f>
        <v>42746.70493</v>
      </c>
      <c r="C4" s="1" t="str">
        <f>IFERROR(__xludf.DUMMYFUNCTION("""COMPUTED_VALUE"""),"treatment")</f>
        <v>treatment</v>
      </c>
      <c r="D4" s="1" t="str">
        <f>IFERROR(__xludf.DUMMYFUNCTION("""COMPUTED_VALUE"""),"new_page")</f>
        <v>new_page</v>
      </c>
      <c r="E4" s="1">
        <f>IFERROR(__xludf.DUMMYFUNCTION("""COMPUTED_VALUE"""),0.0)</f>
        <v>0</v>
      </c>
      <c r="G4" s="9" t="s">
        <v>5</v>
      </c>
      <c r="H4" s="7">
        <v>2214.0</v>
      </c>
      <c r="I4" s="7">
        <v>321.0</v>
      </c>
      <c r="J4" s="1">
        <v>2535.0</v>
      </c>
    </row>
    <row r="5">
      <c r="A5" s="1">
        <f>IFERROR(__xludf.DUMMYFUNCTION("""COMPUTED_VALUE"""),853541.0)</f>
        <v>853541</v>
      </c>
      <c r="B5" s="2">
        <f>IFERROR(__xludf.DUMMYFUNCTION("""COMPUTED_VALUE"""),42743.76948083061)</f>
        <v>42743.76948</v>
      </c>
      <c r="C5" s="1" t="str">
        <f>IFERROR(__xludf.DUMMYFUNCTION("""COMPUTED_VALUE"""),"treatment")</f>
        <v>treatment</v>
      </c>
      <c r="D5" s="1" t="str">
        <f>IFERROR(__xludf.DUMMYFUNCTION("""COMPUTED_VALUE"""),"new_page")</f>
        <v>new_page</v>
      </c>
      <c r="E5" s="1">
        <f>IFERROR(__xludf.DUMMYFUNCTION("""COMPUTED_VALUE"""),0.0)</f>
        <v>0</v>
      </c>
      <c r="G5" s="9" t="s">
        <v>6</v>
      </c>
      <c r="H5" s="7">
        <v>2142.0</v>
      </c>
      <c r="I5" s="7">
        <v>323.0</v>
      </c>
      <c r="J5" s="1">
        <v>2465.0</v>
      </c>
    </row>
    <row r="6">
      <c r="A6" s="1">
        <f>IFERROR(__xludf.DUMMYFUNCTION("""COMPUTED_VALUE"""),864975.0)</f>
        <v>864975</v>
      </c>
      <c r="B6" s="2">
        <f>IFERROR(__xludf.DUMMYFUNCTION("""COMPUTED_VALUE"""),42756.07808114383)</f>
        <v>42756.07808</v>
      </c>
      <c r="C6" s="1" t="str">
        <f>IFERROR(__xludf.DUMMYFUNCTION("""COMPUTED_VALUE"""),"control")</f>
        <v>control</v>
      </c>
      <c r="D6" s="1" t="str">
        <f>IFERROR(__xludf.DUMMYFUNCTION("""COMPUTED_VALUE"""),"old_page")</f>
        <v>old_page</v>
      </c>
      <c r="E6" s="1">
        <f>IFERROR(__xludf.DUMMYFUNCTION("""COMPUTED_VALUE"""),1.0)</f>
        <v>1</v>
      </c>
      <c r="G6" s="1" t="s">
        <v>2</v>
      </c>
      <c r="H6" s="1">
        <v>4356.0</v>
      </c>
      <c r="I6" s="1">
        <v>644.0</v>
      </c>
      <c r="J6" s="1">
        <v>5000.0</v>
      </c>
    </row>
    <row r="7">
      <c r="A7" s="1">
        <f>IFERROR(__xludf.DUMMYFUNCTION("""COMPUTED_VALUE"""),936923.0)</f>
        <v>936923</v>
      </c>
      <c r="B7" s="2">
        <f>IFERROR(__xludf.DUMMYFUNCTION("""COMPUTED_VALUE"""),42745.63945698494)</f>
        <v>42745.63946</v>
      </c>
      <c r="C7" s="1" t="str">
        <f>IFERROR(__xludf.DUMMYFUNCTION("""COMPUTED_VALUE"""),"control")</f>
        <v>control</v>
      </c>
      <c r="D7" s="1" t="str">
        <f>IFERROR(__xludf.DUMMYFUNCTION("""COMPUTED_VALUE"""),"old_page")</f>
        <v>old_page</v>
      </c>
      <c r="E7" s="1">
        <f>IFERROR(__xludf.DUMMYFUNCTION("""COMPUTED_VALUE"""),0.0)</f>
        <v>0</v>
      </c>
    </row>
    <row r="8">
      <c r="A8" s="1">
        <f>IFERROR(__xludf.DUMMYFUNCTION("""COMPUTED_VALUE"""),679687.0)</f>
        <v>679687</v>
      </c>
      <c r="B8" s="2">
        <f>IFERROR(__xludf.DUMMYFUNCTION("""COMPUTED_VALUE"""),42754.14359885126)</f>
        <v>42754.1436</v>
      </c>
      <c r="C8" s="1" t="str">
        <f>IFERROR(__xludf.DUMMYFUNCTION("""COMPUTED_VALUE"""),"treatment")</f>
        <v>treatment</v>
      </c>
      <c r="D8" s="1" t="str">
        <f>IFERROR(__xludf.DUMMYFUNCTION("""COMPUTED_VALUE"""),"new_page")</f>
        <v>new_page</v>
      </c>
      <c r="E8" s="1">
        <f>IFERROR(__xludf.DUMMYFUNCTION("""COMPUTED_VALUE"""),1.0)</f>
        <v>1</v>
      </c>
      <c r="G8" s="10" t="s">
        <v>7</v>
      </c>
    </row>
    <row r="9">
      <c r="A9" s="1">
        <f>IFERROR(__xludf.DUMMYFUNCTION("""COMPUTED_VALUE"""),719014.0)</f>
        <v>719014</v>
      </c>
      <c r="B9" s="2">
        <f>IFERROR(__xludf.DUMMYFUNCTION("""COMPUTED_VALUE"""),42752.07534189321)</f>
        <v>42752.07534</v>
      </c>
      <c r="C9" s="1" t="str">
        <f>IFERROR(__xludf.DUMMYFUNCTION("""COMPUTED_VALUE"""),"control")</f>
        <v>control</v>
      </c>
      <c r="D9" s="1" t="str">
        <f>IFERROR(__xludf.DUMMYFUNCTION("""COMPUTED_VALUE"""),"old_page")</f>
        <v>old_page</v>
      </c>
      <c r="E9" s="1">
        <f>IFERROR(__xludf.DUMMYFUNCTION("""COMPUTED_VALUE"""),0.0)</f>
        <v>0</v>
      </c>
      <c r="G9" s="11" t="s">
        <v>5</v>
      </c>
      <c r="H9" s="12">
        <f t="shared" ref="H9:H10" si="1">H4/J4</f>
        <v>0.8733727811</v>
      </c>
    </row>
    <row r="10">
      <c r="A10" s="1">
        <f>IFERROR(__xludf.DUMMYFUNCTION("""COMPUTED_VALUE"""),817355.0)</f>
        <v>817355</v>
      </c>
      <c r="B10" s="2">
        <f>IFERROR(__xludf.DUMMYFUNCTION("""COMPUTED_VALUE"""),42739.74871504017)</f>
        <v>42739.74872</v>
      </c>
      <c r="C10" s="1" t="str">
        <f>IFERROR(__xludf.DUMMYFUNCTION("""COMPUTED_VALUE"""),"treatment")</f>
        <v>treatment</v>
      </c>
      <c r="D10" s="1" t="str">
        <f>IFERROR(__xludf.DUMMYFUNCTION("""COMPUTED_VALUE"""),"new_page")</f>
        <v>new_page</v>
      </c>
      <c r="E10" s="1">
        <f>IFERROR(__xludf.DUMMYFUNCTION("""COMPUTED_VALUE"""),1.0)</f>
        <v>1</v>
      </c>
      <c r="G10" s="11" t="s">
        <v>6</v>
      </c>
      <c r="H10" s="12">
        <f t="shared" si="1"/>
        <v>0.8689655172</v>
      </c>
    </row>
    <row r="11">
      <c r="A11" s="1">
        <f>IFERROR(__xludf.DUMMYFUNCTION("""COMPUTED_VALUE"""),839785.0)</f>
        <v>839785</v>
      </c>
      <c r="B11" s="2">
        <f>IFERROR(__xludf.DUMMYFUNCTION("""COMPUTED_VALUE"""),42750.75771540469)</f>
        <v>42750.75772</v>
      </c>
      <c r="C11" s="1" t="str">
        <f>IFERROR(__xludf.DUMMYFUNCTION("""COMPUTED_VALUE"""),"treatment")</f>
        <v>treatment</v>
      </c>
      <c r="D11" s="1" t="str">
        <f>IFERROR(__xludf.DUMMYFUNCTION("""COMPUTED_VALUE"""),"new_page")</f>
        <v>new_page</v>
      </c>
      <c r="E11" s="1">
        <f>IFERROR(__xludf.DUMMYFUNCTION("""COMPUTED_VALUE"""),1.0)</f>
        <v>1</v>
      </c>
    </row>
    <row r="12">
      <c r="A12" s="1">
        <f>IFERROR(__xludf.DUMMYFUNCTION("""COMPUTED_VALUE"""),929503.0)</f>
        <v>929503</v>
      </c>
      <c r="B12" s="2">
        <f>IFERROR(__xludf.DUMMYFUNCTION("""COMPUTED_VALUE"""),42753.234161196415)</f>
        <v>42753.23416</v>
      </c>
      <c r="C12" s="1" t="str">
        <f>IFERROR(__xludf.DUMMYFUNCTION("""COMPUTED_VALUE"""),"treatment")</f>
        <v>treatment</v>
      </c>
      <c r="D12" s="1" t="str">
        <f>IFERROR(__xludf.DUMMYFUNCTION("""COMPUTED_VALUE"""),"new_page")</f>
        <v>new_page</v>
      </c>
      <c r="E12" s="1">
        <f>IFERROR(__xludf.DUMMYFUNCTION("""COMPUTED_VALUE"""),0.0)</f>
        <v>0</v>
      </c>
      <c r="G12" s="10" t="s">
        <v>8</v>
      </c>
    </row>
    <row r="13">
      <c r="A13" s="1">
        <f>IFERROR(__xludf.DUMMYFUNCTION("""COMPUTED_VALUE"""),834487.0)</f>
        <v>834487</v>
      </c>
      <c r="B13" s="2">
        <f>IFERROR(__xludf.DUMMYFUNCTION("""COMPUTED_VALUE"""),42756.94291406124)</f>
        <v>42756.94291</v>
      </c>
      <c r="C13" s="1" t="str">
        <f>IFERROR(__xludf.DUMMYFUNCTION("""COMPUTED_VALUE"""),"treatment")</f>
        <v>treatment</v>
      </c>
      <c r="D13" s="1" t="str">
        <f>IFERROR(__xludf.DUMMYFUNCTION("""COMPUTED_VALUE"""),"new_page")</f>
        <v>new_page</v>
      </c>
      <c r="E13" s="1">
        <f>IFERROR(__xludf.DUMMYFUNCTION("""COMPUTED_VALUE"""),0.0)</f>
        <v>0</v>
      </c>
    </row>
    <row r="14">
      <c r="A14" s="1">
        <f>IFERROR(__xludf.DUMMYFUNCTION("""COMPUTED_VALUE"""),803683.0)</f>
        <v>803683</v>
      </c>
      <c r="B14" s="2">
        <f>IFERROR(__xludf.DUMMYFUNCTION("""COMPUTED_VALUE"""),42744.25365998502)</f>
        <v>42744.25366</v>
      </c>
      <c r="C14" s="1" t="str">
        <f>IFERROR(__xludf.DUMMYFUNCTION("""COMPUTED_VALUE"""),"treatment")</f>
        <v>treatment</v>
      </c>
      <c r="D14" s="1" t="str">
        <f>IFERROR(__xludf.DUMMYFUNCTION("""COMPUTED_VALUE"""),"new_page")</f>
        <v>new_page</v>
      </c>
      <c r="E14" s="1">
        <f>IFERROR(__xludf.DUMMYFUNCTION("""COMPUTED_VALUE"""),0.0)</f>
        <v>0</v>
      </c>
      <c r="G14" s="11" t="s">
        <v>9</v>
      </c>
      <c r="H14" s="11" t="s">
        <v>10</v>
      </c>
      <c r="I14" s="11" t="s">
        <v>11</v>
      </c>
      <c r="J14" s="10" t="s">
        <v>12</v>
      </c>
    </row>
    <row r="15">
      <c r="A15" s="1">
        <f>IFERROR(__xludf.DUMMYFUNCTION("""COMPUTED_VALUE"""),944475.0)</f>
        <v>944475</v>
      </c>
      <c r="B15" s="2">
        <f>IFERROR(__xludf.DUMMYFUNCTION("""COMPUTED_VALUE"""),42757.063305252734)</f>
        <v>42757.06331</v>
      </c>
      <c r="C15" s="1" t="str">
        <f>IFERROR(__xludf.DUMMYFUNCTION("""COMPUTED_VALUE"""),"treatment")</f>
        <v>treatment</v>
      </c>
      <c r="D15" s="1" t="str">
        <f>IFERROR(__xludf.DUMMYFUNCTION("""COMPUTED_VALUE"""),"new_page")</f>
        <v>new_page</v>
      </c>
      <c r="E15" s="1">
        <f>IFERROR(__xludf.DUMMYFUNCTION("""COMPUTED_VALUE"""),0.0)</f>
        <v>0</v>
      </c>
      <c r="G15" s="12">
        <f>(H5+H4)/(J5+J4)</f>
        <v>0.8712</v>
      </c>
      <c r="H15" s="1">
        <f>(H10-H9)/SQRT((G15*(1-G15)/J5)+(G15*(1-G15)/J4))</f>
        <v>-0.4651195832</v>
      </c>
      <c r="I15" s="10">
        <v>0.05</v>
      </c>
      <c r="J15" s="1">
        <f>_xlfn.NORM.S.DIST(H15)</f>
        <v>0.3209229114</v>
      </c>
    </row>
    <row r="16">
      <c r="A16" s="1">
        <f>IFERROR(__xludf.DUMMYFUNCTION("""COMPUTED_VALUE"""),718956.0)</f>
        <v>718956</v>
      </c>
      <c r="B16" s="2">
        <f>IFERROR(__xludf.DUMMYFUNCTION("""COMPUTED_VALUE"""),42757.48971444381)</f>
        <v>42757.48971</v>
      </c>
      <c r="C16" s="1" t="str">
        <f>IFERROR(__xludf.DUMMYFUNCTION("""COMPUTED_VALUE"""),"treatment")</f>
        <v>treatment</v>
      </c>
      <c r="D16" s="1" t="str">
        <f>IFERROR(__xludf.DUMMYFUNCTION("""COMPUTED_VALUE"""),"new_page")</f>
        <v>new_page</v>
      </c>
      <c r="E16" s="1">
        <f>IFERROR(__xludf.DUMMYFUNCTION("""COMPUTED_VALUE"""),0.0)</f>
        <v>0</v>
      </c>
    </row>
    <row r="17">
      <c r="A17" s="1">
        <f>IFERROR(__xludf.DUMMYFUNCTION("""COMPUTED_VALUE"""),644214.0)</f>
        <v>644214</v>
      </c>
      <c r="B17" s="2">
        <f>IFERROR(__xludf.DUMMYFUNCTION("""COMPUTED_VALUE"""),42757.0870569379)</f>
        <v>42757.08706</v>
      </c>
      <c r="C17" s="1" t="str">
        <f>IFERROR(__xludf.DUMMYFUNCTION("""COMPUTED_VALUE"""),"control")</f>
        <v>control</v>
      </c>
      <c r="D17" s="1" t="str">
        <f>IFERROR(__xludf.DUMMYFUNCTION("""COMPUTED_VALUE"""),"old_page")</f>
        <v>old_page</v>
      </c>
      <c r="E17" s="1">
        <f>IFERROR(__xludf.DUMMYFUNCTION("""COMPUTED_VALUE"""),1.0)</f>
        <v>1</v>
      </c>
      <c r="G17" s="10" t="s">
        <v>13</v>
      </c>
    </row>
    <row r="18">
      <c r="A18" s="1">
        <f>IFERROR(__xludf.DUMMYFUNCTION("""COMPUTED_VALUE"""),847721.0)</f>
        <v>847721</v>
      </c>
      <c r="B18" s="2">
        <f>IFERROR(__xludf.DUMMYFUNCTION("""COMPUTED_VALUE"""),42752.5840288261)</f>
        <v>42752.58403</v>
      </c>
      <c r="C18" s="1" t="str">
        <f>IFERROR(__xludf.DUMMYFUNCTION("""COMPUTED_VALUE"""),"control")</f>
        <v>control</v>
      </c>
      <c r="D18" s="1" t="str">
        <f>IFERROR(__xludf.DUMMYFUNCTION("""COMPUTED_VALUE"""),"old_page")</f>
        <v>old_page</v>
      </c>
      <c r="E18" s="1">
        <f>IFERROR(__xludf.DUMMYFUNCTION("""COMPUTED_VALUE"""),0.0)</f>
        <v>0</v>
      </c>
      <c r="G18" s="10" t="s">
        <v>14</v>
      </c>
    </row>
    <row r="19">
      <c r="A19" s="1">
        <f>IFERROR(__xludf.DUMMYFUNCTION("""COMPUTED_VALUE"""),888545.0)</f>
        <v>888545</v>
      </c>
      <c r="B19" s="2">
        <f>IFERROR(__xludf.DUMMYFUNCTION("""COMPUTED_VALUE"""),42743.2759992239)</f>
        <v>42743.276</v>
      </c>
      <c r="C19" s="1" t="str">
        <f>IFERROR(__xludf.DUMMYFUNCTION("""COMPUTED_VALUE"""),"treatment")</f>
        <v>treatment</v>
      </c>
      <c r="D19" s="1" t="str">
        <f>IFERROR(__xludf.DUMMYFUNCTION("""COMPUTED_VALUE"""),"new_page")</f>
        <v>new_page</v>
      </c>
      <c r="E19" s="1">
        <f>IFERROR(__xludf.DUMMYFUNCTION("""COMPUTED_VALUE"""),1.0)</f>
        <v>1</v>
      </c>
    </row>
    <row r="20">
      <c r="A20" s="1">
        <f>IFERROR(__xludf.DUMMYFUNCTION("""COMPUTED_VALUE"""),650559.0)</f>
        <v>650559</v>
      </c>
      <c r="B20" s="2">
        <f>IFERROR(__xludf.DUMMYFUNCTION("""COMPUTED_VALUE"""),42759.49711903705)</f>
        <v>42759.49712</v>
      </c>
      <c r="C20" s="1" t="str">
        <f>IFERROR(__xludf.DUMMYFUNCTION("""COMPUTED_VALUE"""),"control")</f>
        <v>control</v>
      </c>
      <c r="D20" s="1" t="str">
        <f>IFERROR(__xludf.DUMMYFUNCTION("""COMPUTED_VALUE"""),"old_page")</f>
        <v>old_page</v>
      </c>
      <c r="E20" s="1">
        <f>IFERROR(__xludf.DUMMYFUNCTION("""COMPUTED_VALUE"""),0.0)</f>
        <v>0</v>
      </c>
    </row>
    <row r="21">
      <c r="A21" s="1">
        <f>IFERROR(__xludf.DUMMYFUNCTION("""COMPUTED_VALUE"""),935734.0)</f>
        <v>935734</v>
      </c>
      <c r="B21" s="2">
        <f>IFERROR(__xludf.DUMMYFUNCTION("""COMPUTED_VALUE"""),42752.85668319882)</f>
        <v>42752.85668</v>
      </c>
      <c r="C21" s="1" t="str">
        <f>IFERROR(__xludf.DUMMYFUNCTION("""COMPUTED_VALUE"""),"control")</f>
        <v>control</v>
      </c>
      <c r="D21" s="1" t="str">
        <f>IFERROR(__xludf.DUMMYFUNCTION("""COMPUTED_VALUE"""),"old_page")</f>
        <v>old_page</v>
      </c>
      <c r="E21" s="1">
        <f>IFERROR(__xludf.DUMMYFUNCTION("""COMPUTED_VALUE"""),0.0)</f>
        <v>0</v>
      </c>
    </row>
    <row r="22">
      <c r="A22" s="1">
        <f>IFERROR(__xludf.DUMMYFUNCTION("""COMPUTED_VALUE"""),740805.0)</f>
        <v>740805</v>
      </c>
      <c r="B22" s="2">
        <f>IFERROR(__xludf.DUMMYFUNCTION("""COMPUTED_VALUE"""),42747.79149830182)</f>
        <v>42747.7915</v>
      </c>
      <c r="C22" s="1" t="str">
        <f>IFERROR(__xludf.DUMMYFUNCTION("""COMPUTED_VALUE"""),"treatment")</f>
        <v>treatment</v>
      </c>
      <c r="D22" s="1" t="str">
        <f>IFERROR(__xludf.DUMMYFUNCTION("""COMPUTED_VALUE"""),"new_page")</f>
        <v>new_page</v>
      </c>
      <c r="E22" s="1">
        <f>IFERROR(__xludf.DUMMYFUNCTION("""COMPUTED_VALUE"""),0.0)</f>
        <v>0</v>
      </c>
    </row>
    <row r="23">
      <c r="A23" s="1">
        <f>IFERROR(__xludf.DUMMYFUNCTION("""COMPUTED_VALUE"""),759875.0)</f>
        <v>759875</v>
      </c>
      <c r="B23" s="2">
        <f>IFERROR(__xludf.DUMMYFUNCTION("""COMPUTED_VALUE"""),42744.67498618183)</f>
        <v>42744.67499</v>
      </c>
      <c r="C23" s="1" t="str">
        <f>IFERROR(__xludf.DUMMYFUNCTION("""COMPUTED_VALUE"""),"treatment")</f>
        <v>treatment</v>
      </c>
      <c r="D23" s="1" t="str">
        <f>IFERROR(__xludf.DUMMYFUNCTION("""COMPUTED_VALUE"""),"new_page")</f>
        <v>new_page</v>
      </c>
      <c r="E23" s="1">
        <f>IFERROR(__xludf.DUMMYFUNCTION("""COMPUTED_VALUE"""),0.0)</f>
        <v>0</v>
      </c>
    </row>
    <row r="24">
      <c r="A24" s="1">
        <f>IFERROR(__xludf.DUMMYFUNCTION("""COMPUTED_VALUE"""),767017.0)</f>
        <v>767017</v>
      </c>
      <c r="B24" s="2">
        <f>IFERROR(__xludf.DUMMYFUNCTION("""COMPUTED_VALUE"""),42747.95711795652)</f>
        <v>42747.95712</v>
      </c>
      <c r="C24" s="1" t="str">
        <f>IFERROR(__xludf.DUMMYFUNCTION("""COMPUTED_VALUE"""),"control")</f>
        <v>control</v>
      </c>
      <c r="D24" s="1" t="str">
        <f>IFERROR(__xludf.DUMMYFUNCTION("""COMPUTED_VALUE"""),"new_page")</f>
        <v>new_page</v>
      </c>
      <c r="E24" s="1">
        <f>IFERROR(__xludf.DUMMYFUNCTION("""COMPUTED_VALUE"""),0.0)</f>
        <v>0</v>
      </c>
    </row>
    <row r="25">
      <c r="A25" s="1">
        <f>IFERROR(__xludf.DUMMYFUNCTION("""COMPUTED_VALUE"""),793849.0)</f>
        <v>793849</v>
      </c>
      <c r="B25" s="2">
        <f>IFERROR(__xludf.DUMMYFUNCTION("""COMPUTED_VALUE"""),42758.941791004756)</f>
        <v>42758.94179</v>
      </c>
      <c r="C25" s="1" t="str">
        <f>IFERROR(__xludf.DUMMYFUNCTION("""COMPUTED_VALUE"""),"treatment")</f>
        <v>treatment</v>
      </c>
      <c r="D25" s="1" t="str">
        <f>IFERROR(__xludf.DUMMYFUNCTION("""COMPUTED_VALUE"""),"new_page")</f>
        <v>new_page</v>
      </c>
      <c r="E25" s="1">
        <f>IFERROR(__xludf.DUMMYFUNCTION("""COMPUTED_VALUE"""),0.0)</f>
        <v>0</v>
      </c>
    </row>
    <row r="26">
      <c r="A26" s="1">
        <f>IFERROR(__xludf.DUMMYFUNCTION("""COMPUTED_VALUE"""),905617.0)</f>
        <v>905617</v>
      </c>
      <c r="B26" s="2">
        <f>IFERROR(__xludf.DUMMYFUNCTION("""COMPUTED_VALUE"""),42755.591890572905)</f>
        <v>42755.59189</v>
      </c>
      <c r="C26" s="1" t="str">
        <f>IFERROR(__xludf.DUMMYFUNCTION("""COMPUTED_VALUE"""),"treatment")</f>
        <v>treatment</v>
      </c>
      <c r="D26" s="1" t="str">
        <f>IFERROR(__xludf.DUMMYFUNCTION("""COMPUTED_VALUE"""),"new_page")</f>
        <v>new_page</v>
      </c>
      <c r="E26" s="1">
        <f>IFERROR(__xludf.DUMMYFUNCTION("""COMPUTED_VALUE"""),0.0)</f>
        <v>0</v>
      </c>
    </row>
    <row r="27">
      <c r="A27" s="1">
        <f>IFERROR(__xludf.DUMMYFUNCTION("""COMPUTED_VALUE"""),746742.0)</f>
        <v>746742</v>
      </c>
      <c r="B27" s="2">
        <f>IFERROR(__xludf.DUMMYFUNCTION("""COMPUTED_VALUE"""),42758.48506472394)</f>
        <v>42758.48506</v>
      </c>
      <c r="C27" s="1" t="str">
        <f>IFERROR(__xludf.DUMMYFUNCTION("""COMPUTED_VALUE"""),"control")</f>
        <v>control</v>
      </c>
      <c r="D27" s="1" t="str">
        <f>IFERROR(__xludf.DUMMYFUNCTION("""COMPUTED_VALUE"""),"old_page")</f>
        <v>old_page</v>
      </c>
      <c r="E27" s="1">
        <f>IFERROR(__xludf.DUMMYFUNCTION("""COMPUTED_VALUE"""),0.0)</f>
        <v>0</v>
      </c>
    </row>
    <row r="28">
      <c r="A28" s="1">
        <f>IFERROR(__xludf.DUMMYFUNCTION("""COMPUTED_VALUE"""),892356.0)</f>
        <v>892356</v>
      </c>
      <c r="B28" s="2">
        <f>IFERROR(__xludf.DUMMYFUNCTION("""COMPUTED_VALUE"""),42740.39947806557)</f>
        <v>42740.39948</v>
      </c>
      <c r="C28" s="1" t="str">
        <f>IFERROR(__xludf.DUMMYFUNCTION("""COMPUTED_VALUE"""),"treatment")</f>
        <v>treatment</v>
      </c>
      <c r="D28" s="1" t="str">
        <f>IFERROR(__xludf.DUMMYFUNCTION("""COMPUTED_VALUE"""),"new_page")</f>
        <v>new_page</v>
      </c>
      <c r="E28" s="1">
        <f>IFERROR(__xludf.DUMMYFUNCTION("""COMPUTED_VALUE"""),1.0)</f>
        <v>1</v>
      </c>
    </row>
    <row r="29">
      <c r="A29" s="1">
        <f>IFERROR(__xludf.DUMMYFUNCTION("""COMPUTED_VALUE"""),773302.0)</f>
        <v>773302</v>
      </c>
      <c r="B29" s="2">
        <f>IFERROR(__xludf.DUMMYFUNCTION("""COMPUTED_VALUE"""),42747.35404873373)</f>
        <v>42747.35405</v>
      </c>
      <c r="C29" s="1" t="str">
        <f>IFERROR(__xludf.DUMMYFUNCTION("""COMPUTED_VALUE"""),"treatment")</f>
        <v>treatment</v>
      </c>
      <c r="D29" s="1" t="str">
        <f>IFERROR(__xludf.DUMMYFUNCTION("""COMPUTED_VALUE"""),"new_page")</f>
        <v>new_page</v>
      </c>
      <c r="E29" s="1">
        <f>IFERROR(__xludf.DUMMYFUNCTION("""COMPUTED_VALUE"""),0.0)</f>
        <v>0</v>
      </c>
    </row>
    <row r="30">
      <c r="A30" s="1">
        <f>IFERROR(__xludf.DUMMYFUNCTION("""COMPUTED_VALUE"""),913579.0)</f>
        <v>913579</v>
      </c>
      <c r="B30" s="2">
        <f>IFERROR(__xludf.DUMMYFUNCTION("""COMPUTED_VALUE"""),42759.38309217889)</f>
        <v>42759.38309</v>
      </c>
      <c r="C30" s="1" t="str">
        <f>IFERROR(__xludf.DUMMYFUNCTION("""COMPUTED_VALUE"""),"control")</f>
        <v>control</v>
      </c>
      <c r="D30" s="1" t="str">
        <f>IFERROR(__xludf.DUMMYFUNCTION("""COMPUTED_VALUE"""),"old_page")</f>
        <v>old_page</v>
      </c>
      <c r="E30" s="1">
        <f>IFERROR(__xludf.DUMMYFUNCTION("""COMPUTED_VALUE"""),1.0)</f>
        <v>1</v>
      </c>
    </row>
    <row r="31">
      <c r="A31" s="1">
        <f>IFERROR(__xludf.DUMMYFUNCTION("""COMPUTED_VALUE"""),736159.0)</f>
        <v>736159</v>
      </c>
      <c r="B31" s="2">
        <f>IFERROR(__xludf.DUMMYFUNCTION("""COMPUTED_VALUE"""),42741.0766356278)</f>
        <v>42741.07664</v>
      </c>
      <c r="C31" s="1" t="str">
        <f>IFERROR(__xludf.DUMMYFUNCTION("""COMPUTED_VALUE"""),"treatment")</f>
        <v>treatment</v>
      </c>
      <c r="D31" s="1" t="str">
        <f>IFERROR(__xludf.DUMMYFUNCTION("""COMPUTED_VALUE"""),"new_page")</f>
        <v>new_page</v>
      </c>
      <c r="E31" s="1">
        <f>IFERROR(__xludf.DUMMYFUNCTION("""COMPUTED_VALUE"""),0.0)</f>
        <v>0</v>
      </c>
    </row>
    <row r="32">
      <c r="A32" s="1">
        <f>IFERROR(__xludf.DUMMYFUNCTION("""COMPUTED_VALUE"""),690284.0)</f>
        <v>690284</v>
      </c>
      <c r="B32" s="2">
        <f>IFERROR(__xludf.DUMMYFUNCTION("""COMPUTED_VALUE"""),42748.72427294872)</f>
        <v>42748.72427</v>
      </c>
      <c r="C32" s="1" t="str">
        <f>IFERROR(__xludf.DUMMYFUNCTION("""COMPUTED_VALUE"""),"control")</f>
        <v>control</v>
      </c>
      <c r="D32" s="1" t="str">
        <f>IFERROR(__xludf.DUMMYFUNCTION("""COMPUTED_VALUE"""),"old_page")</f>
        <v>old_page</v>
      </c>
      <c r="E32" s="1">
        <f>IFERROR(__xludf.DUMMYFUNCTION("""COMPUTED_VALUE"""),0.0)</f>
        <v>0</v>
      </c>
    </row>
    <row r="33">
      <c r="A33" s="1">
        <f>IFERROR(__xludf.DUMMYFUNCTION("""COMPUTED_VALUE"""),826115.0)</f>
        <v>826115</v>
      </c>
      <c r="B33" s="2">
        <f>IFERROR(__xludf.DUMMYFUNCTION("""COMPUTED_VALUE"""),42740.477277275844)</f>
        <v>42740.47728</v>
      </c>
      <c r="C33" s="1" t="str">
        <f>IFERROR(__xludf.DUMMYFUNCTION("""COMPUTED_VALUE"""),"treatment")</f>
        <v>treatment</v>
      </c>
      <c r="D33" s="1" t="str">
        <f>IFERROR(__xludf.DUMMYFUNCTION("""COMPUTED_VALUE"""),"new_page")</f>
        <v>new_page</v>
      </c>
      <c r="E33" s="1">
        <f>IFERROR(__xludf.DUMMYFUNCTION("""COMPUTED_VALUE"""),0.0)</f>
        <v>0</v>
      </c>
    </row>
    <row r="34">
      <c r="A34" s="1">
        <f>IFERROR(__xludf.DUMMYFUNCTION("""COMPUTED_VALUE"""),875124.0)</f>
        <v>875124</v>
      </c>
      <c r="B34" s="2">
        <f>IFERROR(__xludf.DUMMYFUNCTION("""COMPUTED_VALUE"""),42740.65237777669)</f>
        <v>42740.65238</v>
      </c>
      <c r="C34" s="1" t="str">
        <f>IFERROR(__xludf.DUMMYFUNCTION("""COMPUTED_VALUE"""),"treatment")</f>
        <v>treatment</v>
      </c>
      <c r="D34" s="1" t="str">
        <f>IFERROR(__xludf.DUMMYFUNCTION("""COMPUTED_VALUE"""),"new_page")</f>
        <v>new_page</v>
      </c>
      <c r="E34" s="1">
        <f>IFERROR(__xludf.DUMMYFUNCTION("""COMPUTED_VALUE"""),1.0)</f>
        <v>1</v>
      </c>
    </row>
    <row r="35">
      <c r="A35" s="1">
        <f>IFERROR(__xludf.DUMMYFUNCTION("""COMPUTED_VALUE"""),931013.0)</f>
        <v>931013</v>
      </c>
      <c r="B35" s="2">
        <f>IFERROR(__xludf.DUMMYFUNCTION("""COMPUTED_VALUE"""),42742.14164273546)</f>
        <v>42742.14164</v>
      </c>
      <c r="C35" s="1" t="str">
        <f>IFERROR(__xludf.DUMMYFUNCTION("""COMPUTED_VALUE"""),"treatment")</f>
        <v>treatment</v>
      </c>
      <c r="D35" s="1" t="str">
        <f>IFERROR(__xludf.DUMMYFUNCTION("""COMPUTED_VALUE"""),"new_page")</f>
        <v>new_page</v>
      </c>
      <c r="E35" s="1">
        <f>IFERROR(__xludf.DUMMYFUNCTION("""COMPUTED_VALUE"""),0.0)</f>
        <v>0</v>
      </c>
    </row>
    <row r="36">
      <c r="A36" s="1">
        <f>IFERROR(__xludf.DUMMYFUNCTION("""COMPUTED_VALUE"""),710349.0)</f>
        <v>710349</v>
      </c>
      <c r="B36" s="2">
        <f>IFERROR(__xludf.DUMMYFUNCTION("""COMPUTED_VALUE"""),42746.93384521403)</f>
        <v>42746.93385</v>
      </c>
      <c r="C36" s="1" t="str">
        <f>IFERROR(__xludf.DUMMYFUNCTION("""COMPUTED_VALUE"""),"control")</f>
        <v>control</v>
      </c>
      <c r="D36" s="1" t="str">
        <f>IFERROR(__xludf.DUMMYFUNCTION("""COMPUTED_VALUE"""),"old_page")</f>
        <v>old_page</v>
      </c>
      <c r="E36" s="1">
        <f>IFERROR(__xludf.DUMMYFUNCTION("""COMPUTED_VALUE"""),0.0)</f>
        <v>0</v>
      </c>
    </row>
    <row r="37">
      <c r="A37" s="1">
        <f>IFERROR(__xludf.DUMMYFUNCTION("""COMPUTED_VALUE"""),677533.0)</f>
        <v>677533</v>
      </c>
      <c r="B37" s="2">
        <f>IFERROR(__xludf.DUMMYFUNCTION("""COMPUTED_VALUE"""),42758.742251062744)</f>
        <v>42758.74225</v>
      </c>
      <c r="C37" s="1" t="str">
        <f>IFERROR(__xludf.DUMMYFUNCTION("""COMPUTED_VALUE"""),"control")</f>
        <v>control</v>
      </c>
      <c r="D37" s="1" t="str">
        <f>IFERROR(__xludf.DUMMYFUNCTION("""COMPUTED_VALUE"""),"old_page")</f>
        <v>old_page</v>
      </c>
      <c r="E37" s="1">
        <f>IFERROR(__xludf.DUMMYFUNCTION("""COMPUTED_VALUE"""),0.0)</f>
        <v>0</v>
      </c>
    </row>
    <row r="38">
      <c r="A38" s="1">
        <f>IFERROR(__xludf.DUMMYFUNCTION("""COMPUTED_VALUE"""),831737.0)</f>
        <v>831737</v>
      </c>
      <c r="B38" s="2">
        <f>IFERROR(__xludf.DUMMYFUNCTION("""COMPUTED_VALUE"""),42746.88774202564)</f>
        <v>42746.88774</v>
      </c>
      <c r="C38" s="1" t="str">
        <f>IFERROR(__xludf.DUMMYFUNCTION("""COMPUTED_VALUE"""),"control")</f>
        <v>control</v>
      </c>
      <c r="D38" s="1" t="str">
        <f>IFERROR(__xludf.DUMMYFUNCTION("""COMPUTED_VALUE"""),"old_page")</f>
        <v>old_page</v>
      </c>
      <c r="E38" s="1">
        <f>IFERROR(__xludf.DUMMYFUNCTION("""COMPUTED_VALUE"""),1.0)</f>
        <v>1</v>
      </c>
    </row>
    <row r="39">
      <c r="A39" s="1">
        <f>IFERROR(__xludf.DUMMYFUNCTION("""COMPUTED_VALUE"""),648583.0)</f>
        <v>648583</v>
      </c>
      <c r="B39" s="2">
        <f>IFERROR(__xludf.DUMMYFUNCTION("""COMPUTED_VALUE"""),42754.37714751514)</f>
        <v>42754.37715</v>
      </c>
      <c r="C39" s="1" t="str">
        <f>IFERROR(__xludf.DUMMYFUNCTION("""COMPUTED_VALUE"""),"treatment")</f>
        <v>treatment</v>
      </c>
      <c r="D39" s="1" t="str">
        <f>IFERROR(__xludf.DUMMYFUNCTION("""COMPUTED_VALUE"""),"new_page")</f>
        <v>new_page</v>
      </c>
      <c r="E39" s="1">
        <f>IFERROR(__xludf.DUMMYFUNCTION("""COMPUTED_VALUE"""),0.0)</f>
        <v>0</v>
      </c>
    </row>
    <row r="40">
      <c r="A40" s="1">
        <f>IFERROR(__xludf.DUMMYFUNCTION("""COMPUTED_VALUE"""),728086.0)</f>
        <v>728086</v>
      </c>
      <c r="B40" s="2">
        <f>IFERROR(__xludf.DUMMYFUNCTION("""COMPUTED_VALUE"""),42738.71320414181)</f>
        <v>42738.7132</v>
      </c>
      <c r="C40" s="1" t="str">
        <f>IFERROR(__xludf.DUMMYFUNCTION("""COMPUTED_VALUE"""),"treatment")</f>
        <v>treatment</v>
      </c>
      <c r="D40" s="1" t="str">
        <f>IFERROR(__xludf.DUMMYFUNCTION("""COMPUTED_VALUE"""),"new_page")</f>
        <v>new_page</v>
      </c>
      <c r="E40" s="1">
        <f>IFERROR(__xludf.DUMMYFUNCTION("""COMPUTED_VALUE"""),0.0)</f>
        <v>0</v>
      </c>
    </row>
    <row r="41">
      <c r="A41" s="1">
        <f>IFERROR(__xludf.DUMMYFUNCTION("""COMPUTED_VALUE"""),870163.0)</f>
        <v>870163</v>
      </c>
      <c r="B41" s="2">
        <f>IFERROR(__xludf.DUMMYFUNCTION("""COMPUTED_VALUE"""),42737.898487564744)</f>
        <v>42737.89849</v>
      </c>
      <c r="C41" s="1" t="str">
        <f>IFERROR(__xludf.DUMMYFUNCTION("""COMPUTED_VALUE"""),"treatment")</f>
        <v>treatment</v>
      </c>
      <c r="D41" s="1" t="str">
        <f>IFERROR(__xludf.DUMMYFUNCTION("""COMPUTED_VALUE"""),"new_page")</f>
        <v>new_page</v>
      </c>
      <c r="E41" s="1">
        <f>IFERROR(__xludf.DUMMYFUNCTION("""COMPUTED_VALUE"""),0.0)</f>
        <v>0</v>
      </c>
    </row>
    <row r="42">
      <c r="A42" s="1">
        <f>IFERROR(__xludf.DUMMYFUNCTION("""COMPUTED_VALUE"""),771087.0)</f>
        <v>771087</v>
      </c>
      <c r="B42" s="2">
        <f>IFERROR(__xludf.DUMMYFUNCTION("""COMPUTED_VALUE"""),42751.00381925832)</f>
        <v>42751.00382</v>
      </c>
      <c r="C42" s="1" t="str">
        <f>IFERROR(__xludf.DUMMYFUNCTION("""COMPUTED_VALUE"""),"control")</f>
        <v>control</v>
      </c>
      <c r="D42" s="1" t="str">
        <f>IFERROR(__xludf.DUMMYFUNCTION("""COMPUTED_VALUE"""),"old_page")</f>
        <v>old_page</v>
      </c>
      <c r="E42" s="1">
        <f>IFERROR(__xludf.DUMMYFUNCTION("""COMPUTED_VALUE"""),0.0)</f>
        <v>0</v>
      </c>
    </row>
    <row r="43">
      <c r="A43" s="1">
        <f>IFERROR(__xludf.DUMMYFUNCTION("""COMPUTED_VALUE"""),739414.0)</f>
        <v>739414</v>
      </c>
      <c r="B43" s="2">
        <f>IFERROR(__xludf.DUMMYFUNCTION("""COMPUTED_VALUE"""),42738.55966596881)</f>
        <v>42738.55967</v>
      </c>
      <c r="C43" s="1" t="str">
        <f>IFERROR(__xludf.DUMMYFUNCTION("""COMPUTED_VALUE"""),"treatment")</f>
        <v>treatment</v>
      </c>
      <c r="D43" s="1" t="str">
        <f>IFERROR(__xludf.DUMMYFUNCTION("""COMPUTED_VALUE"""),"new_page")</f>
        <v>new_page</v>
      </c>
      <c r="E43" s="1">
        <f>IFERROR(__xludf.DUMMYFUNCTION("""COMPUTED_VALUE"""),0.0)</f>
        <v>0</v>
      </c>
    </row>
    <row r="44">
      <c r="A44" s="1">
        <f>IFERROR(__xludf.DUMMYFUNCTION("""COMPUTED_VALUE"""),896163.0)</f>
        <v>896163</v>
      </c>
      <c r="B44" s="2">
        <f>IFERROR(__xludf.DUMMYFUNCTION("""COMPUTED_VALUE"""),42757.38218464373)</f>
        <v>42757.38218</v>
      </c>
      <c r="C44" s="1" t="str">
        <f>IFERROR(__xludf.DUMMYFUNCTION("""COMPUTED_VALUE"""),"control")</f>
        <v>control</v>
      </c>
      <c r="D44" s="1" t="str">
        <f>IFERROR(__xludf.DUMMYFUNCTION("""COMPUTED_VALUE"""),"old_page")</f>
        <v>old_page</v>
      </c>
      <c r="E44" s="1">
        <f>IFERROR(__xludf.DUMMYFUNCTION("""COMPUTED_VALUE"""),0.0)</f>
        <v>0</v>
      </c>
    </row>
    <row r="45">
      <c r="A45" s="1">
        <f>IFERROR(__xludf.DUMMYFUNCTION("""COMPUTED_VALUE"""),862225.0)</f>
        <v>862225</v>
      </c>
      <c r="B45" s="2">
        <f>IFERROR(__xludf.DUMMYFUNCTION("""COMPUTED_VALUE"""),42743.61779323417)</f>
        <v>42743.61779</v>
      </c>
      <c r="C45" s="1" t="str">
        <f>IFERROR(__xludf.DUMMYFUNCTION("""COMPUTED_VALUE"""),"control")</f>
        <v>control</v>
      </c>
      <c r="D45" s="1" t="str">
        <f>IFERROR(__xludf.DUMMYFUNCTION("""COMPUTED_VALUE"""),"old_page")</f>
        <v>old_page</v>
      </c>
      <c r="E45" s="1">
        <f>IFERROR(__xludf.DUMMYFUNCTION("""COMPUTED_VALUE"""),1.0)</f>
        <v>1</v>
      </c>
    </row>
    <row r="46">
      <c r="A46" s="1">
        <f>IFERROR(__xludf.DUMMYFUNCTION("""COMPUTED_VALUE"""),939593.0)</f>
        <v>939593</v>
      </c>
      <c r="B46" s="2">
        <f>IFERROR(__xludf.DUMMYFUNCTION("""COMPUTED_VALUE"""),42740.38578685513)</f>
        <v>42740.38579</v>
      </c>
      <c r="C46" s="1" t="str">
        <f>IFERROR(__xludf.DUMMYFUNCTION("""COMPUTED_VALUE"""),"control")</f>
        <v>control</v>
      </c>
      <c r="D46" s="1" t="str">
        <f>IFERROR(__xludf.DUMMYFUNCTION("""COMPUTED_VALUE"""),"old_page")</f>
        <v>old_page</v>
      </c>
      <c r="E46" s="1">
        <f>IFERROR(__xludf.DUMMYFUNCTION("""COMPUTED_VALUE"""),0.0)</f>
        <v>0</v>
      </c>
    </row>
    <row r="47">
      <c r="A47" s="1">
        <f>IFERROR(__xludf.DUMMYFUNCTION("""COMPUTED_VALUE"""),702260.0)</f>
        <v>702260</v>
      </c>
      <c r="B47" s="2">
        <f>IFERROR(__xludf.DUMMYFUNCTION("""COMPUTED_VALUE"""),42753.580225558115)</f>
        <v>42753.58023</v>
      </c>
      <c r="C47" s="1" t="str">
        <f>IFERROR(__xludf.DUMMYFUNCTION("""COMPUTED_VALUE"""),"control")</f>
        <v>control</v>
      </c>
      <c r="D47" s="1" t="str">
        <f>IFERROR(__xludf.DUMMYFUNCTION("""COMPUTED_VALUE"""),"old_page")</f>
        <v>old_page</v>
      </c>
      <c r="E47" s="1">
        <f>IFERROR(__xludf.DUMMYFUNCTION("""COMPUTED_VALUE"""),0.0)</f>
        <v>0</v>
      </c>
    </row>
    <row r="48">
      <c r="A48" s="1">
        <f>IFERROR(__xludf.DUMMYFUNCTION("""COMPUTED_VALUE"""),943635.0)</f>
        <v>943635</v>
      </c>
      <c r="B48" s="2">
        <f>IFERROR(__xludf.DUMMYFUNCTION("""COMPUTED_VALUE"""),42757.56782086545)</f>
        <v>42757.56782</v>
      </c>
      <c r="C48" s="1" t="str">
        <f>IFERROR(__xludf.DUMMYFUNCTION("""COMPUTED_VALUE"""),"treatment")</f>
        <v>treatment</v>
      </c>
      <c r="D48" s="1" t="str">
        <f>IFERROR(__xludf.DUMMYFUNCTION("""COMPUTED_VALUE"""),"new_page")</f>
        <v>new_page</v>
      </c>
      <c r="E48" s="1">
        <f>IFERROR(__xludf.DUMMYFUNCTION("""COMPUTED_VALUE"""),0.0)</f>
        <v>0</v>
      </c>
    </row>
    <row r="49">
      <c r="A49" s="1">
        <f>IFERROR(__xludf.DUMMYFUNCTION("""COMPUTED_VALUE"""),800436.0)</f>
        <v>800436</v>
      </c>
      <c r="B49" s="2">
        <f>IFERROR(__xludf.DUMMYFUNCTION("""COMPUTED_VALUE"""),42755.324852134094)</f>
        <v>42755.32485</v>
      </c>
      <c r="C49" s="1" t="str">
        <f>IFERROR(__xludf.DUMMYFUNCTION("""COMPUTED_VALUE"""),"treatment")</f>
        <v>treatment</v>
      </c>
      <c r="D49" s="1" t="str">
        <f>IFERROR(__xludf.DUMMYFUNCTION("""COMPUTED_VALUE"""),"new_page")</f>
        <v>new_page</v>
      </c>
      <c r="E49" s="1">
        <f>IFERROR(__xludf.DUMMYFUNCTION("""COMPUTED_VALUE"""),0.0)</f>
        <v>0</v>
      </c>
    </row>
    <row r="50">
      <c r="A50" s="1">
        <f>IFERROR(__xludf.DUMMYFUNCTION("""COMPUTED_VALUE"""),698590.0)</f>
        <v>698590</v>
      </c>
      <c r="B50" s="2">
        <f>IFERROR(__xludf.DUMMYFUNCTION("""COMPUTED_VALUE"""),42758.49444358117)</f>
        <v>42758.49444</v>
      </c>
      <c r="C50" s="1" t="str">
        <f>IFERROR(__xludf.DUMMYFUNCTION("""COMPUTED_VALUE"""),"treatment")</f>
        <v>treatment</v>
      </c>
      <c r="D50" s="1" t="str">
        <f>IFERROR(__xludf.DUMMYFUNCTION("""COMPUTED_VALUE"""),"new_page")</f>
        <v>new_page</v>
      </c>
      <c r="E50" s="1">
        <f>IFERROR(__xludf.DUMMYFUNCTION("""COMPUTED_VALUE"""),0.0)</f>
        <v>0</v>
      </c>
    </row>
    <row r="51">
      <c r="A51" s="1">
        <f>IFERROR(__xludf.DUMMYFUNCTION("""COMPUTED_VALUE"""),830513.0)</f>
        <v>830513</v>
      </c>
      <c r="B51" s="2">
        <f>IFERROR(__xludf.DUMMYFUNCTION("""COMPUTED_VALUE"""),42747.03473924256)</f>
        <v>42747.03474</v>
      </c>
      <c r="C51" s="1" t="str">
        <f>IFERROR(__xludf.DUMMYFUNCTION("""COMPUTED_VALUE"""),"treatment")</f>
        <v>treatment</v>
      </c>
      <c r="D51" s="1" t="str">
        <f>IFERROR(__xludf.DUMMYFUNCTION("""COMPUTED_VALUE"""),"new_page")</f>
        <v>new_page</v>
      </c>
      <c r="E51" s="1">
        <f>IFERROR(__xludf.DUMMYFUNCTION("""COMPUTED_VALUE"""),0.0)</f>
        <v>0</v>
      </c>
    </row>
    <row r="52">
      <c r="A52" s="1">
        <f>IFERROR(__xludf.DUMMYFUNCTION("""COMPUTED_VALUE"""),670941.0)</f>
        <v>670941</v>
      </c>
      <c r="B52" s="2">
        <f>IFERROR(__xludf.DUMMYFUNCTION("""COMPUTED_VALUE"""),42740.34492252868)</f>
        <v>42740.34492</v>
      </c>
      <c r="C52" s="1" t="str">
        <f>IFERROR(__xludf.DUMMYFUNCTION("""COMPUTED_VALUE"""),"control")</f>
        <v>control</v>
      </c>
      <c r="D52" s="1" t="str">
        <f>IFERROR(__xludf.DUMMYFUNCTION("""COMPUTED_VALUE"""),"old_page")</f>
        <v>old_page</v>
      </c>
      <c r="E52" s="1">
        <f>IFERROR(__xludf.DUMMYFUNCTION("""COMPUTED_VALUE"""),0.0)</f>
        <v>0</v>
      </c>
    </row>
    <row r="53">
      <c r="A53" s="1">
        <f>IFERROR(__xludf.DUMMYFUNCTION("""COMPUTED_VALUE"""),850231.0)</f>
        <v>850231</v>
      </c>
      <c r="B53" s="2">
        <f>IFERROR(__xludf.DUMMYFUNCTION("""COMPUTED_VALUE"""),42753.720888779906)</f>
        <v>42753.72089</v>
      </c>
      <c r="C53" s="1" t="str">
        <f>IFERROR(__xludf.DUMMYFUNCTION("""COMPUTED_VALUE"""),"control")</f>
        <v>control</v>
      </c>
      <c r="D53" s="1" t="str">
        <f>IFERROR(__xludf.DUMMYFUNCTION("""COMPUTED_VALUE"""),"old_page")</f>
        <v>old_page</v>
      </c>
      <c r="E53" s="1">
        <f>IFERROR(__xludf.DUMMYFUNCTION("""COMPUTED_VALUE"""),1.0)</f>
        <v>1</v>
      </c>
    </row>
    <row r="54">
      <c r="A54" s="1">
        <f>IFERROR(__xludf.DUMMYFUNCTION("""COMPUTED_VALUE"""),916511.0)</f>
        <v>916511</v>
      </c>
      <c r="B54" s="2">
        <f>IFERROR(__xludf.DUMMYFUNCTION("""COMPUTED_VALUE"""),42757.26394318729)</f>
        <v>42757.26394</v>
      </c>
      <c r="C54" s="1" t="str">
        <f>IFERROR(__xludf.DUMMYFUNCTION("""COMPUTED_VALUE"""),"treatment")</f>
        <v>treatment</v>
      </c>
      <c r="D54" s="1" t="str">
        <f>IFERROR(__xludf.DUMMYFUNCTION("""COMPUTED_VALUE"""),"new_page")</f>
        <v>new_page</v>
      </c>
      <c r="E54" s="1">
        <f>IFERROR(__xludf.DUMMYFUNCTION("""COMPUTED_VALUE"""),0.0)</f>
        <v>0</v>
      </c>
    </row>
    <row r="55">
      <c r="A55" s="1">
        <f>IFERROR(__xludf.DUMMYFUNCTION("""COMPUTED_VALUE"""),897174.0)</f>
        <v>897174</v>
      </c>
      <c r="B55" s="2">
        <f>IFERROR(__xludf.DUMMYFUNCTION("""COMPUTED_VALUE"""),42752.08571715478)</f>
        <v>42752.08572</v>
      </c>
      <c r="C55" s="1" t="str">
        <f>IFERROR(__xludf.DUMMYFUNCTION("""COMPUTED_VALUE"""),"treatment")</f>
        <v>treatment</v>
      </c>
      <c r="D55" s="1" t="str">
        <f>IFERROR(__xludf.DUMMYFUNCTION("""COMPUTED_VALUE"""),"new_page")</f>
        <v>new_page</v>
      </c>
      <c r="E55" s="1">
        <f>IFERROR(__xludf.DUMMYFUNCTION("""COMPUTED_VALUE"""),0.0)</f>
        <v>0</v>
      </c>
    </row>
    <row r="56">
      <c r="A56" s="1">
        <f>IFERROR(__xludf.DUMMYFUNCTION("""COMPUTED_VALUE"""),906999.0)</f>
        <v>906999</v>
      </c>
      <c r="B56" s="2">
        <f>IFERROR(__xludf.DUMMYFUNCTION("""COMPUTED_VALUE"""),42757.80329531558)</f>
        <v>42757.8033</v>
      </c>
      <c r="C56" s="1" t="str">
        <f>IFERROR(__xludf.DUMMYFUNCTION("""COMPUTED_VALUE"""),"treatment")</f>
        <v>treatment</v>
      </c>
      <c r="D56" s="1" t="str">
        <f>IFERROR(__xludf.DUMMYFUNCTION("""COMPUTED_VALUE"""),"new_page")</f>
        <v>new_page</v>
      </c>
      <c r="E56" s="1">
        <f>IFERROR(__xludf.DUMMYFUNCTION("""COMPUTED_VALUE"""),0.0)</f>
        <v>0</v>
      </c>
    </row>
    <row r="57">
      <c r="A57" s="1">
        <f>IFERROR(__xludf.DUMMYFUNCTION("""COMPUTED_VALUE"""),685794.0)</f>
        <v>685794</v>
      </c>
      <c r="B57" s="2">
        <f>IFERROR(__xludf.DUMMYFUNCTION("""COMPUTED_VALUE"""),42755.621506372925)</f>
        <v>42755.62151</v>
      </c>
      <c r="C57" s="1" t="str">
        <f>IFERROR(__xludf.DUMMYFUNCTION("""COMPUTED_VALUE"""),"control")</f>
        <v>control</v>
      </c>
      <c r="D57" s="1" t="str">
        <f>IFERROR(__xludf.DUMMYFUNCTION("""COMPUTED_VALUE"""),"old_page")</f>
        <v>old_page</v>
      </c>
      <c r="E57" s="1">
        <f>IFERROR(__xludf.DUMMYFUNCTION("""COMPUTED_VALUE"""),0.0)</f>
        <v>0</v>
      </c>
    </row>
    <row r="58">
      <c r="A58" s="1">
        <f>IFERROR(__xludf.DUMMYFUNCTION("""COMPUTED_VALUE"""),757313.0)</f>
        <v>757313</v>
      </c>
      <c r="B58" s="2">
        <f>IFERROR(__xludf.DUMMYFUNCTION("""COMPUTED_VALUE"""),42744.4745088149)</f>
        <v>42744.47451</v>
      </c>
      <c r="C58" s="1" t="str">
        <f>IFERROR(__xludf.DUMMYFUNCTION("""COMPUTED_VALUE"""),"treatment")</f>
        <v>treatment</v>
      </c>
      <c r="D58" s="1" t="str">
        <f>IFERROR(__xludf.DUMMYFUNCTION("""COMPUTED_VALUE"""),"new_page")</f>
        <v>new_page</v>
      </c>
      <c r="E58" s="1">
        <f>IFERROR(__xludf.DUMMYFUNCTION("""COMPUTED_VALUE"""),0.0)</f>
        <v>0</v>
      </c>
    </row>
    <row r="59">
      <c r="A59" s="1">
        <f>IFERROR(__xludf.DUMMYFUNCTION("""COMPUTED_VALUE"""),714733.0)</f>
        <v>714733</v>
      </c>
      <c r="B59" s="2">
        <f>IFERROR(__xludf.DUMMYFUNCTION("""COMPUTED_VALUE"""),42738.349049816505)</f>
        <v>42738.34905</v>
      </c>
      <c r="C59" s="1" t="str">
        <f>IFERROR(__xludf.DUMMYFUNCTION("""COMPUTED_VALUE"""),"control")</f>
        <v>control</v>
      </c>
      <c r="D59" s="1" t="str">
        <f>IFERROR(__xludf.DUMMYFUNCTION("""COMPUTED_VALUE"""),"old_page")</f>
        <v>old_page</v>
      </c>
      <c r="E59" s="1">
        <f>IFERROR(__xludf.DUMMYFUNCTION("""COMPUTED_VALUE"""),0.0)</f>
        <v>0</v>
      </c>
    </row>
    <row r="60">
      <c r="A60" s="1">
        <f>IFERROR(__xludf.DUMMYFUNCTION("""COMPUTED_VALUE"""),710967.0)</f>
        <v>710967</v>
      </c>
      <c r="B60" s="2">
        <f>IFERROR(__xludf.DUMMYFUNCTION("""COMPUTED_VALUE"""),42745.09679215442)</f>
        <v>42745.09679</v>
      </c>
      <c r="C60" s="1" t="str">
        <f>IFERROR(__xludf.DUMMYFUNCTION("""COMPUTED_VALUE"""),"control")</f>
        <v>control</v>
      </c>
      <c r="D60" s="1" t="str">
        <f>IFERROR(__xludf.DUMMYFUNCTION("""COMPUTED_VALUE"""),"old_page")</f>
        <v>old_page</v>
      </c>
      <c r="E60" s="1">
        <f>IFERROR(__xludf.DUMMYFUNCTION("""COMPUTED_VALUE"""),0.0)</f>
        <v>0</v>
      </c>
    </row>
    <row r="61">
      <c r="A61" s="1">
        <f>IFERROR(__xludf.DUMMYFUNCTION("""COMPUTED_VALUE"""),680201.0)</f>
        <v>680201</v>
      </c>
      <c r="B61" s="2">
        <f>IFERROR(__xludf.DUMMYFUNCTION("""COMPUTED_VALUE"""),42746.44358741767)</f>
        <v>42746.44359</v>
      </c>
      <c r="C61" s="1" t="str">
        <f>IFERROR(__xludf.DUMMYFUNCTION("""COMPUTED_VALUE"""),"control")</f>
        <v>control</v>
      </c>
      <c r="D61" s="1" t="str">
        <f>IFERROR(__xludf.DUMMYFUNCTION("""COMPUTED_VALUE"""),"old_page")</f>
        <v>old_page</v>
      </c>
      <c r="E61" s="1">
        <f>IFERROR(__xludf.DUMMYFUNCTION("""COMPUTED_VALUE"""),0.0)</f>
        <v>0</v>
      </c>
    </row>
    <row r="62">
      <c r="A62" s="1">
        <f>IFERROR(__xludf.DUMMYFUNCTION("""COMPUTED_VALUE"""),790863.0)</f>
        <v>790863</v>
      </c>
      <c r="B62" s="2">
        <f>IFERROR(__xludf.DUMMYFUNCTION("""COMPUTED_VALUE"""),42754.46017616111)</f>
        <v>42754.46018</v>
      </c>
      <c r="C62" s="1" t="str">
        <f>IFERROR(__xludf.DUMMYFUNCTION("""COMPUTED_VALUE"""),"control")</f>
        <v>control</v>
      </c>
      <c r="D62" s="1" t="str">
        <f>IFERROR(__xludf.DUMMYFUNCTION("""COMPUTED_VALUE"""),"old_page")</f>
        <v>old_page</v>
      </c>
      <c r="E62" s="1">
        <f>IFERROR(__xludf.DUMMYFUNCTION("""COMPUTED_VALUE"""),0.0)</f>
        <v>0</v>
      </c>
    </row>
    <row r="63">
      <c r="A63" s="1">
        <f>IFERROR(__xludf.DUMMYFUNCTION("""COMPUTED_VALUE"""),717595.0)</f>
        <v>717595</v>
      </c>
      <c r="B63" s="2">
        <f>IFERROR(__xludf.DUMMYFUNCTION("""COMPUTED_VALUE"""),42758.76328875192)</f>
        <v>42758.76329</v>
      </c>
      <c r="C63" s="1" t="str">
        <f>IFERROR(__xludf.DUMMYFUNCTION("""COMPUTED_VALUE"""),"control")</f>
        <v>control</v>
      </c>
      <c r="D63" s="1" t="str">
        <f>IFERROR(__xludf.DUMMYFUNCTION("""COMPUTED_VALUE"""),"old_page")</f>
        <v>old_page</v>
      </c>
      <c r="E63" s="1">
        <f>IFERROR(__xludf.DUMMYFUNCTION("""COMPUTED_VALUE"""),0.0)</f>
        <v>0</v>
      </c>
    </row>
    <row r="64">
      <c r="A64" s="1">
        <f>IFERROR(__xludf.DUMMYFUNCTION("""COMPUTED_VALUE"""),779854.0)</f>
        <v>779854</v>
      </c>
      <c r="B64" s="2">
        <f>IFERROR(__xludf.DUMMYFUNCTION("""COMPUTED_VALUE"""),42746.89480017777)</f>
        <v>42746.8948</v>
      </c>
      <c r="C64" s="1" t="str">
        <f>IFERROR(__xludf.DUMMYFUNCTION("""COMPUTED_VALUE"""),"control")</f>
        <v>control</v>
      </c>
      <c r="D64" s="1" t="str">
        <f>IFERROR(__xludf.DUMMYFUNCTION("""COMPUTED_VALUE"""),"old_page")</f>
        <v>old_page</v>
      </c>
      <c r="E64" s="1">
        <f>IFERROR(__xludf.DUMMYFUNCTION("""COMPUTED_VALUE"""),0.0)</f>
        <v>0</v>
      </c>
    </row>
    <row r="65">
      <c r="A65" s="1">
        <f>IFERROR(__xludf.DUMMYFUNCTION("""COMPUTED_VALUE"""),916307.0)</f>
        <v>916307</v>
      </c>
      <c r="B65" s="2">
        <f>IFERROR(__xludf.DUMMYFUNCTION("""COMPUTED_VALUE"""),42754.727530979166)</f>
        <v>42754.72753</v>
      </c>
      <c r="C65" s="1" t="str">
        <f>IFERROR(__xludf.DUMMYFUNCTION("""COMPUTED_VALUE"""),"control")</f>
        <v>control</v>
      </c>
      <c r="D65" s="1" t="str">
        <f>IFERROR(__xludf.DUMMYFUNCTION("""COMPUTED_VALUE"""),"old_page")</f>
        <v>old_page</v>
      </c>
      <c r="E65" s="1">
        <f>IFERROR(__xludf.DUMMYFUNCTION("""COMPUTED_VALUE"""),0.0)</f>
        <v>0</v>
      </c>
    </row>
    <row r="66">
      <c r="A66" s="1">
        <f>IFERROR(__xludf.DUMMYFUNCTION("""COMPUTED_VALUE"""),731611.0)</f>
        <v>731611</v>
      </c>
      <c r="B66" s="2">
        <f>IFERROR(__xludf.DUMMYFUNCTION("""COMPUTED_VALUE"""),42759.0623915542)</f>
        <v>42759.06239</v>
      </c>
      <c r="C66" s="1" t="str">
        <f>IFERROR(__xludf.DUMMYFUNCTION("""COMPUTED_VALUE"""),"control")</f>
        <v>control</v>
      </c>
      <c r="D66" s="1" t="str">
        <f>IFERROR(__xludf.DUMMYFUNCTION("""COMPUTED_VALUE"""),"old_page")</f>
        <v>old_page</v>
      </c>
      <c r="E66" s="1">
        <f>IFERROR(__xludf.DUMMYFUNCTION("""COMPUTED_VALUE"""),0.0)</f>
        <v>0</v>
      </c>
    </row>
    <row r="67">
      <c r="A67" s="1">
        <f>IFERROR(__xludf.DUMMYFUNCTION("""COMPUTED_VALUE"""),742910.0)</f>
        <v>742910</v>
      </c>
      <c r="B67" s="2">
        <f>IFERROR(__xludf.DUMMYFUNCTION("""COMPUTED_VALUE"""),42742.469271842085)</f>
        <v>42742.46927</v>
      </c>
      <c r="C67" s="1" t="str">
        <f>IFERROR(__xludf.DUMMYFUNCTION("""COMPUTED_VALUE"""),"treatment")</f>
        <v>treatment</v>
      </c>
      <c r="D67" s="1" t="str">
        <f>IFERROR(__xludf.DUMMYFUNCTION("""COMPUTED_VALUE"""),"new_page")</f>
        <v>new_page</v>
      </c>
      <c r="E67" s="1">
        <f>IFERROR(__xludf.DUMMYFUNCTION("""COMPUTED_VALUE"""),0.0)</f>
        <v>0</v>
      </c>
    </row>
    <row r="68">
      <c r="A68" s="1">
        <f>IFERROR(__xludf.DUMMYFUNCTION("""COMPUTED_VALUE"""),897656.0)</f>
        <v>897656</v>
      </c>
      <c r="B68" s="2">
        <f>IFERROR(__xludf.DUMMYFUNCTION("""COMPUTED_VALUE"""),42743.37355057427)</f>
        <v>42743.37355</v>
      </c>
      <c r="C68" s="1" t="str">
        <f>IFERROR(__xludf.DUMMYFUNCTION("""COMPUTED_VALUE"""),"control")</f>
        <v>control</v>
      </c>
      <c r="D68" s="1" t="str">
        <f>IFERROR(__xludf.DUMMYFUNCTION("""COMPUTED_VALUE"""),"old_page")</f>
        <v>old_page</v>
      </c>
      <c r="E68" s="1">
        <f>IFERROR(__xludf.DUMMYFUNCTION("""COMPUTED_VALUE"""),0.0)</f>
        <v>0</v>
      </c>
    </row>
    <row r="69">
      <c r="A69" s="1">
        <f>IFERROR(__xludf.DUMMYFUNCTION("""COMPUTED_VALUE"""),834137.0)</f>
        <v>834137</v>
      </c>
      <c r="B69" s="2">
        <f>IFERROR(__xludf.DUMMYFUNCTION("""COMPUTED_VALUE"""),42759.513977292394)</f>
        <v>42759.51398</v>
      </c>
      <c r="C69" s="1" t="str">
        <f>IFERROR(__xludf.DUMMYFUNCTION("""COMPUTED_VALUE"""),"control")</f>
        <v>control</v>
      </c>
      <c r="D69" s="1" t="str">
        <f>IFERROR(__xludf.DUMMYFUNCTION("""COMPUTED_VALUE"""),"old_page")</f>
        <v>old_page</v>
      </c>
      <c r="E69" s="1">
        <f>IFERROR(__xludf.DUMMYFUNCTION("""COMPUTED_VALUE"""),1.0)</f>
        <v>1</v>
      </c>
    </row>
    <row r="70">
      <c r="A70" s="1">
        <f>IFERROR(__xludf.DUMMYFUNCTION("""COMPUTED_VALUE"""),791703.0)</f>
        <v>791703</v>
      </c>
      <c r="B70" s="2">
        <f>IFERROR(__xludf.DUMMYFUNCTION("""COMPUTED_VALUE"""),42740.84377787012)</f>
        <v>42740.84378</v>
      </c>
      <c r="C70" s="1" t="str">
        <f>IFERROR(__xludf.DUMMYFUNCTION("""COMPUTED_VALUE"""),"control")</f>
        <v>control</v>
      </c>
      <c r="D70" s="1" t="str">
        <f>IFERROR(__xludf.DUMMYFUNCTION("""COMPUTED_VALUE"""),"old_page")</f>
        <v>old_page</v>
      </c>
      <c r="E70" s="1">
        <f>IFERROR(__xludf.DUMMYFUNCTION("""COMPUTED_VALUE"""),0.0)</f>
        <v>0</v>
      </c>
    </row>
    <row r="71">
      <c r="A71" s="1">
        <f>IFERROR(__xludf.DUMMYFUNCTION("""COMPUTED_VALUE"""),850190.0)</f>
        <v>850190</v>
      </c>
      <c r="B71" s="2">
        <f>IFERROR(__xludf.DUMMYFUNCTION("""COMPUTED_VALUE"""),42745.20508571758)</f>
        <v>42745.20509</v>
      </c>
      <c r="C71" s="1" t="str">
        <f>IFERROR(__xludf.DUMMYFUNCTION("""COMPUTED_VALUE"""),"control")</f>
        <v>control</v>
      </c>
      <c r="D71" s="1" t="str">
        <f>IFERROR(__xludf.DUMMYFUNCTION("""COMPUTED_VALUE"""),"old_page")</f>
        <v>old_page</v>
      </c>
      <c r="E71" s="1">
        <f>IFERROR(__xludf.DUMMYFUNCTION("""COMPUTED_VALUE"""),0.0)</f>
        <v>0</v>
      </c>
    </row>
    <row r="72">
      <c r="A72" s="1">
        <f>IFERROR(__xludf.DUMMYFUNCTION("""COMPUTED_VALUE"""),812235.0)</f>
        <v>812235</v>
      </c>
      <c r="B72" s="2">
        <f>IFERROR(__xludf.DUMMYFUNCTION("""COMPUTED_VALUE"""),42746.36715343363)</f>
        <v>42746.36715</v>
      </c>
      <c r="C72" s="1" t="str">
        <f>IFERROR(__xludf.DUMMYFUNCTION("""COMPUTED_VALUE"""),"control")</f>
        <v>control</v>
      </c>
      <c r="D72" s="1" t="str">
        <f>IFERROR(__xludf.DUMMYFUNCTION("""COMPUTED_VALUE"""),"old_page")</f>
        <v>old_page</v>
      </c>
      <c r="E72" s="1">
        <f>IFERROR(__xludf.DUMMYFUNCTION("""COMPUTED_VALUE"""),0.0)</f>
        <v>0</v>
      </c>
    </row>
    <row r="73">
      <c r="A73" s="1">
        <f>IFERROR(__xludf.DUMMYFUNCTION("""COMPUTED_VALUE"""),729613.0)</f>
        <v>729613</v>
      </c>
      <c r="B73" s="2">
        <f>IFERROR(__xludf.DUMMYFUNCTION("""COMPUTED_VALUE"""),42747.38190720175)</f>
        <v>42747.38191</v>
      </c>
      <c r="C73" s="1" t="str">
        <f>IFERROR(__xludf.DUMMYFUNCTION("""COMPUTED_VALUE"""),"control")</f>
        <v>control</v>
      </c>
      <c r="D73" s="1" t="str">
        <f>IFERROR(__xludf.DUMMYFUNCTION("""COMPUTED_VALUE"""),"old_page")</f>
        <v>old_page</v>
      </c>
      <c r="E73" s="1">
        <f>IFERROR(__xludf.DUMMYFUNCTION("""COMPUTED_VALUE"""),0.0)</f>
        <v>0</v>
      </c>
    </row>
    <row r="74">
      <c r="A74" s="1">
        <f>IFERROR(__xludf.DUMMYFUNCTION("""COMPUTED_VALUE"""),817936.0)</f>
        <v>817936</v>
      </c>
      <c r="B74" s="2">
        <f>IFERROR(__xludf.DUMMYFUNCTION("""COMPUTED_VALUE"""),42738.83373195356)</f>
        <v>42738.83373</v>
      </c>
      <c r="C74" s="1" t="str">
        <f>IFERROR(__xludf.DUMMYFUNCTION("""COMPUTED_VALUE"""),"treatment")</f>
        <v>treatment</v>
      </c>
      <c r="D74" s="1" t="str">
        <f>IFERROR(__xludf.DUMMYFUNCTION("""COMPUTED_VALUE"""),"new_page")</f>
        <v>new_page</v>
      </c>
      <c r="E74" s="1">
        <f>IFERROR(__xludf.DUMMYFUNCTION("""COMPUTED_VALUE"""),0.0)</f>
        <v>0</v>
      </c>
    </row>
    <row r="75">
      <c r="A75" s="1">
        <f>IFERROR(__xludf.DUMMYFUNCTION("""COMPUTED_VALUE"""),776669.0)</f>
        <v>776669</v>
      </c>
      <c r="B75" s="2">
        <f>IFERROR(__xludf.DUMMYFUNCTION("""COMPUTED_VALUE"""),42750.4894342834)</f>
        <v>42750.48943</v>
      </c>
      <c r="C75" s="1" t="str">
        <f>IFERROR(__xludf.DUMMYFUNCTION("""COMPUTED_VALUE"""),"treatment")</f>
        <v>treatment</v>
      </c>
      <c r="D75" s="1" t="str">
        <f>IFERROR(__xludf.DUMMYFUNCTION("""COMPUTED_VALUE"""),"new_page")</f>
        <v>new_page</v>
      </c>
      <c r="E75" s="1">
        <f>IFERROR(__xludf.DUMMYFUNCTION("""COMPUTED_VALUE"""),0.0)</f>
        <v>0</v>
      </c>
    </row>
    <row r="76">
      <c r="A76" s="1">
        <f>IFERROR(__xludf.DUMMYFUNCTION("""COMPUTED_VALUE"""),640693.0)</f>
        <v>640693</v>
      </c>
      <c r="B76" s="2">
        <f>IFERROR(__xludf.DUMMYFUNCTION("""COMPUTED_VALUE"""),42754.84884225185)</f>
        <v>42754.84884</v>
      </c>
      <c r="C76" s="1" t="str">
        <f>IFERROR(__xludf.DUMMYFUNCTION("""COMPUTED_VALUE"""),"treatment")</f>
        <v>treatment</v>
      </c>
      <c r="D76" s="1" t="str">
        <f>IFERROR(__xludf.DUMMYFUNCTION("""COMPUTED_VALUE"""),"new_page")</f>
        <v>new_page</v>
      </c>
      <c r="E76" s="1">
        <f>IFERROR(__xludf.DUMMYFUNCTION("""COMPUTED_VALUE"""),0.0)</f>
        <v>0</v>
      </c>
    </row>
    <row r="77">
      <c r="A77" s="1">
        <f>IFERROR(__xludf.DUMMYFUNCTION("""COMPUTED_VALUE"""),781060.0)</f>
        <v>781060</v>
      </c>
      <c r="B77" s="2">
        <f>IFERROR(__xludf.DUMMYFUNCTION("""COMPUTED_VALUE"""),42748.26614234039)</f>
        <v>42748.26614</v>
      </c>
      <c r="C77" s="1" t="str">
        <f>IFERROR(__xludf.DUMMYFUNCTION("""COMPUTED_VALUE"""),"treatment")</f>
        <v>treatment</v>
      </c>
      <c r="D77" s="1" t="str">
        <f>IFERROR(__xludf.DUMMYFUNCTION("""COMPUTED_VALUE"""),"new_page")</f>
        <v>new_page</v>
      </c>
      <c r="E77" s="1">
        <f>IFERROR(__xludf.DUMMYFUNCTION("""COMPUTED_VALUE"""),0.0)</f>
        <v>0</v>
      </c>
    </row>
    <row r="78">
      <c r="A78" s="1">
        <f>IFERROR(__xludf.DUMMYFUNCTION("""COMPUTED_VALUE"""),827414.0)</f>
        <v>827414</v>
      </c>
      <c r="B78" s="2">
        <f>IFERROR(__xludf.DUMMYFUNCTION("""COMPUTED_VALUE"""),42745.19261381965)</f>
        <v>42745.19261</v>
      </c>
      <c r="C78" s="1" t="str">
        <f>IFERROR(__xludf.DUMMYFUNCTION("""COMPUTED_VALUE"""),"control")</f>
        <v>control</v>
      </c>
      <c r="D78" s="1" t="str">
        <f>IFERROR(__xludf.DUMMYFUNCTION("""COMPUTED_VALUE"""),"old_page")</f>
        <v>old_page</v>
      </c>
      <c r="E78" s="1">
        <f>IFERROR(__xludf.DUMMYFUNCTION("""COMPUTED_VALUE"""),0.0)</f>
        <v>0</v>
      </c>
    </row>
    <row r="79">
      <c r="A79" s="1">
        <f>IFERROR(__xludf.DUMMYFUNCTION("""COMPUTED_VALUE"""),689369.0)</f>
        <v>689369</v>
      </c>
      <c r="B79" s="2">
        <f>IFERROR(__xludf.DUMMYFUNCTION("""COMPUTED_VALUE"""),42742.81066909961)</f>
        <v>42742.81067</v>
      </c>
      <c r="C79" s="1" t="str">
        <f>IFERROR(__xludf.DUMMYFUNCTION("""COMPUTED_VALUE"""),"control")</f>
        <v>control</v>
      </c>
      <c r="D79" s="1" t="str">
        <f>IFERROR(__xludf.DUMMYFUNCTION("""COMPUTED_VALUE"""),"old_page")</f>
        <v>old_page</v>
      </c>
      <c r="E79" s="1">
        <f>IFERROR(__xludf.DUMMYFUNCTION("""COMPUTED_VALUE"""),0.0)</f>
        <v>0</v>
      </c>
    </row>
    <row r="80">
      <c r="A80" s="1">
        <f>IFERROR(__xludf.DUMMYFUNCTION("""COMPUTED_VALUE"""),741853.0)</f>
        <v>741853</v>
      </c>
      <c r="B80" s="2">
        <f>IFERROR(__xludf.DUMMYFUNCTION("""COMPUTED_VALUE"""),42757.476311802115)</f>
        <v>42757.47631</v>
      </c>
      <c r="C80" s="1" t="str">
        <f>IFERROR(__xludf.DUMMYFUNCTION("""COMPUTED_VALUE"""),"control")</f>
        <v>control</v>
      </c>
      <c r="D80" s="1" t="str">
        <f>IFERROR(__xludf.DUMMYFUNCTION("""COMPUTED_VALUE"""),"old_page")</f>
        <v>old_page</v>
      </c>
      <c r="E80" s="1">
        <f>IFERROR(__xludf.DUMMYFUNCTION("""COMPUTED_VALUE"""),0.0)</f>
        <v>0</v>
      </c>
    </row>
    <row r="81">
      <c r="A81" s="1">
        <f>IFERROR(__xludf.DUMMYFUNCTION("""COMPUTED_VALUE"""),819394.0)</f>
        <v>819394</v>
      </c>
      <c r="B81" s="2">
        <f>IFERROR(__xludf.DUMMYFUNCTION("""COMPUTED_VALUE"""),42742.39401917165)</f>
        <v>42742.39402</v>
      </c>
      <c r="C81" s="1" t="str">
        <f>IFERROR(__xludf.DUMMYFUNCTION("""COMPUTED_VALUE"""),"treatment")</f>
        <v>treatment</v>
      </c>
      <c r="D81" s="1" t="str">
        <f>IFERROR(__xludf.DUMMYFUNCTION("""COMPUTED_VALUE"""),"new_page")</f>
        <v>new_page</v>
      </c>
      <c r="E81" s="1">
        <f>IFERROR(__xludf.DUMMYFUNCTION("""COMPUTED_VALUE"""),0.0)</f>
        <v>0</v>
      </c>
    </row>
    <row r="82">
      <c r="A82" s="1">
        <f>IFERROR(__xludf.DUMMYFUNCTION("""COMPUTED_VALUE"""),696202.0)</f>
        <v>696202</v>
      </c>
      <c r="B82" s="2">
        <f>IFERROR(__xludf.DUMMYFUNCTION("""COMPUTED_VALUE"""),42749.49317640758)</f>
        <v>42749.49318</v>
      </c>
      <c r="C82" s="1" t="str">
        <f>IFERROR(__xludf.DUMMYFUNCTION("""COMPUTED_VALUE"""),"control")</f>
        <v>control</v>
      </c>
      <c r="D82" s="1" t="str">
        <f>IFERROR(__xludf.DUMMYFUNCTION("""COMPUTED_VALUE"""),"old_page")</f>
        <v>old_page</v>
      </c>
      <c r="E82" s="1">
        <f>IFERROR(__xludf.DUMMYFUNCTION("""COMPUTED_VALUE"""),1.0)</f>
        <v>1</v>
      </c>
    </row>
    <row r="83">
      <c r="A83" s="1">
        <f>IFERROR(__xludf.DUMMYFUNCTION("""COMPUTED_VALUE"""),637366.0)</f>
        <v>637366</v>
      </c>
      <c r="B83" s="2">
        <f>IFERROR(__xludf.DUMMYFUNCTION("""COMPUTED_VALUE"""),42757.83451921838)</f>
        <v>42757.83452</v>
      </c>
      <c r="C83" s="1" t="str">
        <f>IFERROR(__xludf.DUMMYFUNCTION("""COMPUTED_VALUE"""),"treatment")</f>
        <v>treatment</v>
      </c>
      <c r="D83" s="1" t="str">
        <f>IFERROR(__xludf.DUMMYFUNCTION("""COMPUTED_VALUE"""),"new_page")</f>
        <v>new_page</v>
      </c>
      <c r="E83" s="1">
        <f>IFERROR(__xludf.DUMMYFUNCTION("""COMPUTED_VALUE"""),0.0)</f>
        <v>0</v>
      </c>
    </row>
    <row r="84">
      <c r="A84" s="1">
        <f>IFERROR(__xludf.DUMMYFUNCTION("""COMPUTED_VALUE"""),836770.0)</f>
        <v>836770</v>
      </c>
      <c r="B84" s="2">
        <f>IFERROR(__xludf.DUMMYFUNCTION("""COMPUTED_VALUE"""),42752.13307065245)</f>
        <v>42752.13307</v>
      </c>
      <c r="C84" s="1" t="str">
        <f>IFERROR(__xludf.DUMMYFUNCTION("""COMPUTED_VALUE"""),"treatment")</f>
        <v>treatment</v>
      </c>
      <c r="D84" s="1" t="str">
        <f>IFERROR(__xludf.DUMMYFUNCTION("""COMPUTED_VALUE"""),"new_page")</f>
        <v>new_page</v>
      </c>
      <c r="E84" s="1">
        <f>IFERROR(__xludf.DUMMYFUNCTION("""COMPUTED_VALUE"""),0.0)</f>
        <v>0</v>
      </c>
    </row>
    <row r="85">
      <c r="A85" s="1">
        <f>IFERROR(__xludf.DUMMYFUNCTION("""COMPUTED_VALUE"""),696678.0)</f>
        <v>696678</v>
      </c>
      <c r="B85" s="2">
        <f>IFERROR(__xludf.DUMMYFUNCTION("""COMPUTED_VALUE"""),42753.976349730714)</f>
        <v>42753.97635</v>
      </c>
      <c r="C85" s="1" t="str">
        <f>IFERROR(__xludf.DUMMYFUNCTION("""COMPUTED_VALUE"""),"control")</f>
        <v>control</v>
      </c>
      <c r="D85" s="1" t="str">
        <f>IFERROR(__xludf.DUMMYFUNCTION("""COMPUTED_VALUE"""),"old_page")</f>
        <v>old_page</v>
      </c>
      <c r="E85" s="1">
        <f>IFERROR(__xludf.DUMMYFUNCTION("""COMPUTED_VALUE"""),0.0)</f>
        <v>0</v>
      </c>
    </row>
    <row r="86">
      <c r="A86" s="1">
        <f>IFERROR(__xludf.DUMMYFUNCTION("""COMPUTED_VALUE"""),778778.0)</f>
        <v>778778</v>
      </c>
      <c r="B86" s="2">
        <f>IFERROR(__xludf.DUMMYFUNCTION("""COMPUTED_VALUE"""),42738.81584207346)</f>
        <v>42738.81584</v>
      </c>
      <c r="C86" s="1" t="str">
        <f>IFERROR(__xludf.DUMMYFUNCTION("""COMPUTED_VALUE"""),"control")</f>
        <v>control</v>
      </c>
      <c r="D86" s="1" t="str">
        <f>IFERROR(__xludf.DUMMYFUNCTION("""COMPUTED_VALUE"""),"old_page")</f>
        <v>old_page</v>
      </c>
      <c r="E86" s="1">
        <f>IFERROR(__xludf.DUMMYFUNCTION("""COMPUTED_VALUE"""),0.0)</f>
        <v>0</v>
      </c>
    </row>
    <row r="87">
      <c r="A87" s="1">
        <f>IFERROR(__xludf.DUMMYFUNCTION("""COMPUTED_VALUE"""),945236.0)</f>
        <v>945236</v>
      </c>
      <c r="B87" s="2">
        <f>IFERROR(__xludf.DUMMYFUNCTION("""COMPUTED_VALUE"""),42749.76974035788)</f>
        <v>42749.76974</v>
      </c>
      <c r="C87" s="1" t="str">
        <f>IFERROR(__xludf.DUMMYFUNCTION("""COMPUTED_VALUE"""),"treatment")</f>
        <v>treatment</v>
      </c>
      <c r="D87" s="1" t="str">
        <f>IFERROR(__xludf.DUMMYFUNCTION("""COMPUTED_VALUE"""),"new_page")</f>
        <v>new_page</v>
      </c>
      <c r="E87" s="1">
        <f>IFERROR(__xludf.DUMMYFUNCTION("""COMPUTED_VALUE"""),0.0)</f>
        <v>0</v>
      </c>
    </row>
    <row r="88">
      <c r="A88" s="1">
        <f>IFERROR(__xludf.DUMMYFUNCTION("""COMPUTED_VALUE"""),764145.0)</f>
        <v>764145</v>
      </c>
      <c r="B88" s="2">
        <f>IFERROR(__xludf.DUMMYFUNCTION("""COMPUTED_VALUE"""),42739.01279189361)</f>
        <v>42739.01279</v>
      </c>
      <c r="C88" s="1" t="str">
        <f>IFERROR(__xludf.DUMMYFUNCTION("""COMPUTED_VALUE"""),"treatment")</f>
        <v>treatment</v>
      </c>
      <c r="D88" s="1" t="str">
        <f>IFERROR(__xludf.DUMMYFUNCTION("""COMPUTED_VALUE"""),"new_page")</f>
        <v>new_page</v>
      </c>
      <c r="E88" s="1">
        <f>IFERROR(__xludf.DUMMYFUNCTION("""COMPUTED_VALUE"""),0.0)</f>
        <v>0</v>
      </c>
    </row>
    <row r="89">
      <c r="A89" s="1">
        <f>IFERROR(__xludf.DUMMYFUNCTION("""COMPUTED_VALUE"""),782624.0)</f>
        <v>782624</v>
      </c>
      <c r="B89" s="2">
        <f>IFERROR(__xludf.DUMMYFUNCTION("""COMPUTED_VALUE"""),42755.96824934665)</f>
        <v>42755.96825</v>
      </c>
      <c r="C89" s="1" t="str">
        <f>IFERROR(__xludf.DUMMYFUNCTION("""COMPUTED_VALUE"""),"treatment")</f>
        <v>treatment</v>
      </c>
      <c r="D89" s="1" t="str">
        <f>IFERROR(__xludf.DUMMYFUNCTION("""COMPUTED_VALUE"""),"new_page")</f>
        <v>new_page</v>
      </c>
      <c r="E89" s="1">
        <f>IFERROR(__xludf.DUMMYFUNCTION("""COMPUTED_VALUE"""),0.0)</f>
        <v>0</v>
      </c>
    </row>
    <row r="90">
      <c r="A90" s="1">
        <f>IFERROR(__xludf.DUMMYFUNCTION("""COMPUTED_VALUE"""),792499.0)</f>
        <v>792499</v>
      </c>
      <c r="B90" s="2">
        <f>IFERROR(__xludf.DUMMYFUNCTION("""COMPUTED_VALUE"""),42742.10478498287)</f>
        <v>42742.10478</v>
      </c>
      <c r="C90" s="1" t="str">
        <f>IFERROR(__xludf.DUMMYFUNCTION("""COMPUTED_VALUE"""),"treatment")</f>
        <v>treatment</v>
      </c>
      <c r="D90" s="1" t="str">
        <f>IFERROR(__xludf.DUMMYFUNCTION("""COMPUTED_VALUE"""),"new_page")</f>
        <v>new_page</v>
      </c>
      <c r="E90" s="1">
        <f>IFERROR(__xludf.DUMMYFUNCTION("""COMPUTED_VALUE"""),1.0)</f>
        <v>1</v>
      </c>
    </row>
    <row r="91">
      <c r="A91" s="1">
        <f>IFERROR(__xludf.DUMMYFUNCTION("""COMPUTED_VALUE"""),832316.0)</f>
        <v>832316</v>
      </c>
      <c r="B91" s="2">
        <f>IFERROR(__xludf.DUMMYFUNCTION("""COMPUTED_VALUE"""),42753.70746229273)</f>
        <v>42753.70746</v>
      </c>
      <c r="C91" s="1" t="str">
        <f>IFERROR(__xludf.DUMMYFUNCTION("""COMPUTED_VALUE"""),"control")</f>
        <v>control</v>
      </c>
      <c r="D91" s="1" t="str">
        <f>IFERROR(__xludf.DUMMYFUNCTION("""COMPUTED_VALUE"""),"old_page")</f>
        <v>old_page</v>
      </c>
      <c r="E91" s="1">
        <f>IFERROR(__xludf.DUMMYFUNCTION("""COMPUTED_VALUE"""),1.0)</f>
        <v>1</v>
      </c>
    </row>
    <row r="92">
      <c r="A92" s="1">
        <f>IFERROR(__xludf.DUMMYFUNCTION("""COMPUTED_VALUE"""),911824.0)</f>
        <v>911824</v>
      </c>
      <c r="B92" s="2">
        <f>IFERROR(__xludf.DUMMYFUNCTION("""COMPUTED_VALUE"""),42754.4317827256)</f>
        <v>42754.43178</v>
      </c>
      <c r="C92" s="1" t="str">
        <f>IFERROR(__xludf.DUMMYFUNCTION("""COMPUTED_VALUE"""),"control")</f>
        <v>control</v>
      </c>
      <c r="D92" s="1" t="str">
        <f>IFERROR(__xludf.DUMMYFUNCTION("""COMPUTED_VALUE"""),"old_page")</f>
        <v>old_page</v>
      </c>
      <c r="E92" s="1">
        <f>IFERROR(__xludf.DUMMYFUNCTION("""COMPUTED_VALUE"""),0.0)</f>
        <v>0</v>
      </c>
    </row>
    <row r="93">
      <c r="A93" s="1">
        <f>IFERROR(__xludf.DUMMYFUNCTION("""COMPUTED_VALUE"""),668255.0)</f>
        <v>668255</v>
      </c>
      <c r="B93" s="2">
        <f>IFERROR(__xludf.DUMMYFUNCTION("""COMPUTED_VALUE"""),42752.383645747694)</f>
        <v>42752.38365</v>
      </c>
      <c r="C93" s="1" t="str">
        <f>IFERROR(__xludf.DUMMYFUNCTION("""COMPUTED_VALUE"""),"control")</f>
        <v>control</v>
      </c>
      <c r="D93" s="1" t="str">
        <f>IFERROR(__xludf.DUMMYFUNCTION("""COMPUTED_VALUE"""),"old_page")</f>
        <v>old_page</v>
      </c>
      <c r="E93" s="1">
        <f>IFERROR(__xludf.DUMMYFUNCTION("""COMPUTED_VALUE"""),0.0)</f>
        <v>0</v>
      </c>
    </row>
    <row r="94">
      <c r="A94" s="1">
        <f>IFERROR(__xludf.DUMMYFUNCTION("""COMPUTED_VALUE"""),800421.0)</f>
        <v>800421</v>
      </c>
      <c r="B94" s="2">
        <f>IFERROR(__xludf.DUMMYFUNCTION("""COMPUTED_VALUE"""),42742.26308609972)</f>
        <v>42742.26309</v>
      </c>
      <c r="C94" s="1" t="str">
        <f>IFERROR(__xludf.DUMMYFUNCTION("""COMPUTED_VALUE"""),"treatment")</f>
        <v>treatment</v>
      </c>
      <c r="D94" s="1" t="str">
        <f>IFERROR(__xludf.DUMMYFUNCTION("""COMPUTED_VALUE"""),"new_page")</f>
        <v>new_page</v>
      </c>
      <c r="E94" s="1">
        <f>IFERROR(__xludf.DUMMYFUNCTION("""COMPUTED_VALUE"""),0.0)</f>
        <v>0</v>
      </c>
    </row>
    <row r="95">
      <c r="A95" s="1">
        <f>IFERROR(__xludf.DUMMYFUNCTION("""COMPUTED_VALUE"""),738570.0)</f>
        <v>738570</v>
      </c>
      <c r="B95" s="2">
        <f>IFERROR(__xludf.DUMMYFUNCTION("""COMPUTED_VALUE"""),42751.31566152338)</f>
        <v>42751.31566</v>
      </c>
      <c r="C95" s="1" t="str">
        <f>IFERROR(__xludf.DUMMYFUNCTION("""COMPUTED_VALUE"""),"control")</f>
        <v>control</v>
      </c>
      <c r="D95" s="1" t="str">
        <f>IFERROR(__xludf.DUMMYFUNCTION("""COMPUTED_VALUE"""),"old_page")</f>
        <v>old_page</v>
      </c>
      <c r="E95" s="1">
        <f>IFERROR(__xludf.DUMMYFUNCTION("""COMPUTED_VALUE"""),0.0)</f>
        <v>0</v>
      </c>
    </row>
    <row r="96">
      <c r="A96" s="1">
        <f>IFERROR(__xludf.DUMMYFUNCTION("""COMPUTED_VALUE"""),909364.0)</f>
        <v>909364</v>
      </c>
      <c r="B96" s="2">
        <f>IFERROR(__xludf.DUMMYFUNCTION("""COMPUTED_VALUE"""),42759.059310808145)</f>
        <v>42759.05931</v>
      </c>
      <c r="C96" s="1" t="str">
        <f>IFERROR(__xludf.DUMMYFUNCTION("""COMPUTED_VALUE"""),"control")</f>
        <v>control</v>
      </c>
      <c r="D96" s="1" t="str">
        <f>IFERROR(__xludf.DUMMYFUNCTION("""COMPUTED_VALUE"""),"old_page")</f>
        <v>old_page</v>
      </c>
      <c r="E96" s="1">
        <f>IFERROR(__xludf.DUMMYFUNCTION("""COMPUTED_VALUE"""),0.0)</f>
        <v>0</v>
      </c>
    </row>
    <row r="97">
      <c r="A97" s="1">
        <f>IFERROR(__xludf.DUMMYFUNCTION("""COMPUTED_VALUE"""),636946.0)</f>
        <v>636946</v>
      </c>
      <c r="B97" s="2">
        <f>IFERROR(__xludf.DUMMYFUNCTION("""COMPUTED_VALUE"""),42752.82693385985)</f>
        <v>42752.82693</v>
      </c>
      <c r="C97" s="1" t="str">
        <f>IFERROR(__xludf.DUMMYFUNCTION("""COMPUTED_VALUE"""),"control")</f>
        <v>control</v>
      </c>
      <c r="D97" s="1" t="str">
        <f>IFERROR(__xludf.DUMMYFUNCTION("""COMPUTED_VALUE"""),"old_page")</f>
        <v>old_page</v>
      </c>
      <c r="E97" s="1">
        <f>IFERROR(__xludf.DUMMYFUNCTION("""COMPUTED_VALUE"""),0.0)</f>
        <v>0</v>
      </c>
    </row>
    <row r="98">
      <c r="A98" s="1">
        <f>IFERROR(__xludf.DUMMYFUNCTION("""COMPUTED_VALUE"""),894540.0)</f>
        <v>894540</v>
      </c>
      <c r="B98" s="2">
        <f>IFERROR(__xludf.DUMMYFUNCTION("""COMPUTED_VALUE"""),42739.15180317757)</f>
        <v>42739.1518</v>
      </c>
      <c r="C98" s="1" t="str">
        <f>IFERROR(__xludf.DUMMYFUNCTION("""COMPUTED_VALUE"""),"treatment")</f>
        <v>treatment</v>
      </c>
      <c r="D98" s="1" t="str">
        <f>IFERROR(__xludf.DUMMYFUNCTION("""COMPUTED_VALUE"""),"new_page")</f>
        <v>new_page</v>
      </c>
      <c r="E98" s="1">
        <f>IFERROR(__xludf.DUMMYFUNCTION("""COMPUTED_VALUE"""),0.0)</f>
        <v>0</v>
      </c>
    </row>
    <row r="99">
      <c r="A99" s="1">
        <f>IFERROR(__xludf.DUMMYFUNCTION("""COMPUTED_VALUE"""),939580.0)</f>
        <v>939580</v>
      </c>
      <c r="B99" s="2">
        <f>IFERROR(__xludf.DUMMYFUNCTION("""COMPUTED_VALUE"""),42744.34947853819)</f>
        <v>42744.34948</v>
      </c>
      <c r="C99" s="1" t="str">
        <f>IFERROR(__xludf.DUMMYFUNCTION("""COMPUTED_VALUE"""),"control")</f>
        <v>control</v>
      </c>
      <c r="D99" s="1" t="str">
        <f>IFERROR(__xludf.DUMMYFUNCTION("""COMPUTED_VALUE"""),"old_page")</f>
        <v>old_page</v>
      </c>
      <c r="E99" s="1">
        <f>IFERROR(__xludf.DUMMYFUNCTION("""COMPUTED_VALUE"""),0.0)</f>
        <v>0</v>
      </c>
    </row>
    <row r="100">
      <c r="A100" s="1">
        <f>IFERROR(__xludf.DUMMYFUNCTION("""COMPUTED_VALUE"""),698331.0)</f>
        <v>698331</v>
      </c>
      <c r="B100" s="2">
        <f>IFERROR(__xludf.DUMMYFUNCTION("""COMPUTED_VALUE"""),42757.885071470104)</f>
        <v>42757.88507</v>
      </c>
      <c r="C100" s="1" t="str">
        <f>IFERROR(__xludf.DUMMYFUNCTION("""COMPUTED_VALUE"""),"control")</f>
        <v>control</v>
      </c>
      <c r="D100" s="1" t="str">
        <f>IFERROR(__xludf.DUMMYFUNCTION("""COMPUTED_VALUE"""),"old_page")</f>
        <v>old_page</v>
      </c>
      <c r="E100" s="1">
        <f>IFERROR(__xludf.DUMMYFUNCTION("""COMPUTED_VALUE"""),0.0)</f>
        <v>0</v>
      </c>
    </row>
    <row r="101">
      <c r="A101" s="1">
        <f>IFERROR(__xludf.DUMMYFUNCTION("""COMPUTED_VALUE"""),631524.0)</f>
        <v>631524</v>
      </c>
      <c r="B101" s="2">
        <f>IFERROR(__xludf.DUMMYFUNCTION("""COMPUTED_VALUE"""),42745.29753040635)</f>
        <v>42745.29753</v>
      </c>
      <c r="C101" s="1" t="str">
        <f>IFERROR(__xludf.DUMMYFUNCTION("""COMPUTED_VALUE"""),"treatment")</f>
        <v>treatment</v>
      </c>
      <c r="D101" s="1" t="str">
        <f>IFERROR(__xludf.DUMMYFUNCTION("""COMPUTED_VALUE"""),"new_page")</f>
        <v>new_page</v>
      </c>
      <c r="E101" s="1">
        <f>IFERROR(__xludf.DUMMYFUNCTION("""COMPUTED_VALUE"""),0.0)</f>
        <v>0</v>
      </c>
    </row>
    <row r="102">
      <c r="A102" s="1">
        <f>IFERROR(__xludf.DUMMYFUNCTION("""COMPUTED_VALUE"""),820916.0)</f>
        <v>820916</v>
      </c>
      <c r="B102" s="2">
        <f>IFERROR(__xludf.DUMMYFUNCTION("""COMPUTED_VALUE"""),42742.91820636467)</f>
        <v>42742.91821</v>
      </c>
      <c r="C102" s="1" t="str">
        <f>IFERROR(__xludf.DUMMYFUNCTION("""COMPUTED_VALUE"""),"control")</f>
        <v>control</v>
      </c>
      <c r="D102" s="1" t="str">
        <f>IFERROR(__xludf.DUMMYFUNCTION("""COMPUTED_VALUE"""),"old_page")</f>
        <v>old_page</v>
      </c>
      <c r="E102" s="1">
        <f>IFERROR(__xludf.DUMMYFUNCTION("""COMPUTED_VALUE"""),0.0)</f>
        <v>0</v>
      </c>
    </row>
    <row r="103">
      <c r="A103" s="1">
        <f>IFERROR(__xludf.DUMMYFUNCTION("""COMPUTED_VALUE"""),887581.0)</f>
        <v>887581</v>
      </c>
      <c r="B103" s="2">
        <f>IFERROR(__xludf.DUMMYFUNCTION("""COMPUTED_VALUE"""),42756.76467495611)</f>
        <v>42756.76467</v>
      </c>
      <c r="C103" s="1" t="str">
        <f>IFERROR(__xludf.DUMMYFUNCTION("""COMPUTED_VALUE"""),"control")</f>
        <v>control</v>
      </c>
      <c r="D103" s="1" t="str">
        <f>IFERROR(__xludf.DUMMYFUNCTION("""COMPUTED_VALUE"""),"old_page")</f>
        <v>old_page</v>
      </c>
      <c r="E103" s="1">
        <f>IFERROR(__xludf.DUMMYFUNCTION("""COMPUTED_VALUE"""),0.0)</f>
        <v>0</v>
      </c>
    </row>
    <row r="104">
      <c r="A104" s="1">
        <f>IFERROR(__xludf.DUMMYFUNCTION("""COMPUTED_VALUE"""),742392.0)</f>
        <v>742392</v>
      </c>
      <c r="B104" s="2">
        <f>IFERROR(__xludf.DUMMYFUNCTION("""COMPUTED_VALUE"""),42751.84517016119)</f>
        <v>42751.84517</v>
      </c>
      <c r="C104" s="1" t="str">
        <f>IFERROR(__xludf.DUMMYFUNCTION("""COMPUTED_VALUE"""),"control")</f>
        <v>control</v>
      </c>
      <c r="D104" s="1" t="str">
        <f>IFERROR(__xludf.DUMMYFUNCTION("""COMPUTED_VALUE"""),"old_page")</f>
        <v>old_page</v>
      </c>
      <c r="E104" s="1">
        <f>IFERROR(__xludf.DUMMYFUNCTION("""COMPUTED_VALUE"""),0.0)</f>
        <v>0</v>
      </c>
    </row>
    <row r="105">
      <c r="A105" s="1">
        <f>IFERROR(__xludf.DUMMYFUNCTION("""COMPUTED_VALUE"""),659648.0)</f>
        <v>659648</v>
      </c>
      <c r="B105" s="2">
        <f>IFERROR(__xludf.DUMMYFUNCTION("""COMPUTED_VALUE"""),42752.61965986909)</f>
        <v>42752.61966</v>
      </c>
      <c r="C105" s="1" t="str">
        <f>IFERROR(__xludf.DUMMYFUNCTION("""COMPUTED_VALUE"""),"control")</f>
        <v>control</v>
      </c>
      <c r="D105" s="1" t="str">
        <f>IFERROR(__xludf.DUMMYFUNCTION("""COMPUTED_VALUE"""),"old_page")</f>
        <v>old_page</v>
      </c>
      <c r="E105" s="1">
        <f>IFERROR(__xludf.DUMMYFUNCTION("""COMPUTED_VALUE"""),0.0)</f>
        <v>0</v>
      </c>
    </row>
    <row r="106">
      <c r="A106" s="1">
        <f>IFERROR(__xludf.DUMMYFUNCTION("""COMPUTED_VALUE"""),734232.0)</f>
        <v>734232</v>
      </c>
      <c r="B106" s="2">
        <f>IFERROR(__xludf.DUMMYFUNCTION("""COMPUTED_VALUE"""),42741.47587880265)</f>
        <v>42741.47588</v>
      </c>
      <c r="C106" s="1" t="str">
        <f>IFERROR(__xludf.DUMMYFUNCTION("""COMPUTED_VALUE"""),"treatment")</f>
        <v>treatment</v>
      </c>
      <c r="D106" s="1" t="str">
        <f>IFERROR(__xludf.DUMMYFUNCTION("""COMPUTED_VALUE"""),"new_page")</f>
        <v>new_page</v>
      </c>
      <c r="E106" s="1">
        <f>IFERROR(__xludf.DUMMYFUNCTION("""COMPUTED_VALUE"""),0.0)</f>
        <v>0</v>
      </c>
    </row>
    <row r="107">
      <c r="A107" s="1">
        <f>IFERROR(__xludf.DUMMYFUNCTION("""COMPUTED_VALUE"""),802440.0)</f>
        <v>802440</v>
      </c>
      <c r="B107" s="2">
        <f>IFERROR(__xludf.DUMMYFUNCTION("""COMPUTED_VALUE"""),42758.90434172089)</f>
        <v>42758.90434</v>
      </c>
      <c r="C107" s="1" t="str">
        <f>IFERROR(__xludf.DUMMYFUNCTION("""COMPUTED_VALUE"""),"treatment")</f>
        <v>treatment</v>
      </c>
      <c r="D107" s="1" t="str">
        <f>IFERROR(__xludf.DUMMYFUNCTION("""COMPUTED_VALUE"""),"new_page")</f>
        <v>new_page</v>
      </c>
      <c r="E107" s="1">
        <f>IFERROR(__xludf.DUMMYFUNCTION("""COMPUTED_VALUE"""),0.0)</f>
        <v>0</v>
      </c>
    </row>
    <row r="108">
      <c r="A108" s="1">
        <f>IFERROR(__xludf.DUMMYFUNCTION("""COMPUTED_VALUE"""),800982.0)</f>
        <v>800982</v>
      </c>
      <c r="B108" s="2">
        <f>IFERROR(__xludf.DUMMYFUNCTION("""COMPUTED_VALUE"""),42748.77635061312)</f>
        <v>42748.77635</v>
      </c>
      <c r="C108" s="1" t="str">
        <f>IFERROR(__xludf.DUMMYFUNCTION("""COMPUTED_VALUE"""),"treatment")</f>
        <v>treatment</v>
      </c>
      <c r="D108" s="1" t="str">
        <f>IFERROR(__xludf.DUMMYFUNCTION("""COMPUTED_VALUE"""),"new_page")</f>
        <v>new_page</v>
      </c>
      <c r="E108" s="1">
        <f>IFERROR(__xludf.DUMMYFUNCTION("""COMPUTED_VALUE"""),1.0)</f>
        <v>1</v>
      </c>
    </row>
    <row r="109">
      <c r="A109" s="1">
        <f>IFERROR(__xludf.DUMMYFUNCTION("""COMPUTED_VALUE"""),757160.0)</f>
        <v>757160</v>
      </c>
      <c r="B109" s="2">
        <f>IFERROR(__xludf.DUMMYFUNCTION("""COMPUTED_VALUE"""),42758.8106387431)</f>
        <v>42758.81064</v>
      </c>
      <c r="C109" s="1" t="str">
        <f>IFERROR(__xludf.DUMMYFUNCTION("""COMPUTED_VALUE"""),"control")</f>
        <v>control</v>
      </c>
      <c r="D109" s="1" t="str">
        <f>IFERROR(__xludf.DUMMYFUNCTION("""COMPUTED_VALUE"""),"old_page")</f>
        <v>old_page</v>
      </c>
      <c r="E109" s="1">
        <f>IFERROR(__xludf.DUMMYFUNCTION("""COMPUTED_VALUE"""),0.0)</f>
        <v>0</v>
      </c>
    </row>
    <row r="110">
      <c r="A110" s="1">
        <f>IFERROR(__xludf.DUMMYFUNCTION("""COMPUTED_VALUE"""),650929.0)</f>
        <v>650929</v>
      </c>
      <c r="B110" s="2">
        <f>IFERROR(__xludf.DUMMYFUNCTION("""COMPUTED_VALUE"""),42744.18134243719)</f>
        <v>42744.18134</v>
      </c>
      <c r="C110" s="1" t="str">
        <f>IFERROR(__xludf.DUMMYFUNCTION("""COMPUTED_VALUE"""),"treatment")</f>
        <v>treatment</v>
      </c>
      <c r="D110" s="1" t="str">
        <f>IFERROR(__xludf.DUMMYFUNCTION("""COMPUTED_VALUE"""),"new_page")</f>
        <v>new_page</v>
      </c>
      <c r="E110" s="1">
        <f>IFERROR(__xludf.DUMMYFUNCTION("""COMPUTED_VALUE"""),0.0)</f>
        <v>0</v>
      </c>
    </row>
    <row r="111">
      <c r="A111" s="1">
        <f>IFERROR(__xludf.DUMMYFUNCTION("""COMPUTED_VALUE"""),757812.0)</f>
        <v>757812</v>
      </c>
      <c r="B111" s="2">
        <f>IFERROR(__xludf.DUMMYFUNCTION("""COMPUTED_VALUE"""),42755.83128007621)</f>
        <v>42755.83128</v>
      </c>
      <c r="C111" s="1" t="str">
        <f>IFERROR(__xludf.DUMMYFUNCTION("""COMPUTED_VALUE"""),"control")</f>
        <v>control</v>
      </c>
      <c r="D111" s="1" t="str">
        <f>IFERROR(__xludf.DUMMYFUNCTION("""COMPUTED_VALUE"""),"old_page")</f>
        <v>old_page</v>
      </c>
      <c r="E111" s="1">
        <f>IFERROR(__xludf.DUMMYFUNCTION("""COMPUTED_VALUE"""),0.0)</f>
        <v>0</v>
      </c>
    </row>
    <row r="112">
      <c r="A112" s="1">
        <f>IFERROR(__xludf.DUMMYFUNCTION("""COMPUTED_VALUE"""),773860.0)</f>
        <v>773860</v>
      </c>
      <c r="B112" s="2">
        <f>IFERROR(__xludf.DUMMYFUNCTION("""COMPUTED_VALUE"""),42745.461265676364)</f>
        <v>42745.46127</v>
      </c>
      <c r="C112" s="1" t="str">
        <f>IFERROR(__xludf.DUMMYFUNCTION("""COMPUTED_VALUE"""),"treatment")</f>
        <v>treatment</v>
      </c>
      <c r="D112" s="1" t="str">
        <f>IFERROR(__xludf.DUMMYFUNCTION("""COMPUTED_VALUE"""),"new_page")</f>
        <v>new_page</v>
      </c>
      <c r="E112" s="1">
        <f>IFERROR(__xludf.DUMMYFUNCTION("""COMPUTED_VALUE"""),0.0)</f>
        <v>0</v>
      </c>
    </row>
    <row r="113">
      <c r="A113" s="1">
        <f>IFERROR(__xludf.DUMMYFUNCTION("""COMPUTED_VALUE"""),744902.0)</f>
        <v>744902</v>
      </c>
      <c r="B113" s="2">
        <f>IFERROR(__xludf.DUMMYFUNCTION("""COMPUTED_VALUE"""),42753.44674585225)</f>
        <v>42753.44675</v>
      </c>
      <c r="C113" s="1" t="str">
        <f>IFERROR(__xludf.DUMMYFUNCTION("""COMPUTED_VALUE"""),"treatment")</f>
        <v>treatment</v>
      </c>
      <c r="D113" s="1" t="str">
        <f>IFERROR(__xludf.DUMMYFUNCTION("""COMPUTED_VALUE"""),"new_page")</f>
        <v>new_page</v>
      </c>
      <c r="E113" s="1">
        <f>IFERROR(__xludf.DUMMYFUNCTION("""COMPUTED_VALUE"""),0.0)</f>
        <v>0</v>
      </c>
    </row>
    <row r="114">
      <c r="A114" s="1">
        <f>IFERROR(__xludf.DUMMYFUNCTION("""COMPUTED_VALUE"""),684929.0)</f>
        <v>684929</v>
      </c>
      <c r="B114" s="2">
        <f>IFERROR(__xludf.DUMMYFUNCTION("""COMPUTED_VALUE"""),42747.315692885495)</f>
        <v>42747.31569</v>
      </c>
      <c r="C114" s="1" t="str">
        <f>IFERROR(__xludf.DUMMYFUNCTION("""COMPUTED_VALUE"""),"treatment")</f>
        <v>treatment</v>
      </c>
      <c r="D114" s="1" t="str">
        <f>IFERROR(__xludf.DUMMYFUNCTION("""COMPUTED_VALUE"""),"new_page")</f>
        <v>new_page</v>
      </c>
      <c r="E114" s="1">
        <f>IFERROR(__xludf.DUMMYFUNCTION("""COMPUTED_VALUE"""),0.0)</f>
        <v>0</v>
      </c>
    </row>
    <row r="115">
      <c r="A115" s="1">
        <f>IFERROR(__xludf.DUMMYFUNCTION("""COMPUTED_VALUE"""),868502.0)</f>
        <v>868502</v>
      </c>
      <c r="B115" s="2">
        <f>IFERROR(__xludf.DUMMYFUNCTION("""COMPUTED_VALUE"""),42755.88723519131)</f>
        <v>42755.88724</v>
      </c>
      <c r="C115" s="1" t="str">
        <f>IFERROR(__xludf.DUMMYFUNCTION("""COMPUTED_VALUE"""),"treatment")</f>
        <v>treatment</v>
      </c>
      <c r="D115" s="1" t="str">
        <f>IFERROR(__xludf.DUMMYFUNCTION("""COMPUTED_VALUE"""),"new_page")</f>
        <v>new_page</v>
      </c>
      <c r="E115" s="1">
        <f>IFERROR(__xludf.DUMMYFUNCTION("""COMPUTED_VALUE"""),1.0)</f>
        <v>1</v>
      </c>
    </row>
    <row r="116">
      <c r="A116" s="1">
        <f>IFERROR(__xludf.DUMMYFUNCTION("""COMPUTED_VALUE"""),647522.0)</f>
        <v>647522</v>
      </c>
      <c r="B116" s="2">
        <f>IFERROR(__xludf.DUMMYFUNCTION("""COMPUTED_VALUE"""),42740.08977092176)</f>
        <v>42740.08977</v>
      </c>
      <c r="C116" s="1" t="str">
        <f>IFERROR(__xludf.DUMMYFUNCTION("""COMPUTED_VALUE"""),"control")</f>
        <v>control</v>
      </c>
      <c r="D116" s="1" t="str">
        <f>IFERROR(__xludf.DUMMYFUNCTION("""COMPUTED_VALUE"""),"old_page")</f>
        <v>old_page</v>
      </c>
      <c r="E116" s="1">
        <f>IFERROR(__xludf.DUMMYFUNCTION("""COMPUTED_VALUE"""),0.0)</f>
        <v>0</v>
      </c>
    </row>
    <row r="117">
      <c r="A117" s="1">
        <f>IFERROR(__xludf.DUMMYFUNCTION("""COMPUTED_VALUE"""),665159.0)</f>
        <v>665159</v>
      </c>
      <c r="B117" s="2">
        <f>IFERROR(__xludf.DUMMYFUNCTION("""COMPUTED_VALUE"""),42752.05489453506)</f>
        <v>42752.05489</v>
      </c>
      <c r="C117" s="1" t="str">
        <f>IFERROR(__xludf.DUMMYFUNCTION("""COMPUTED_VALUE"""),"control")</f>
        <v>control</v>
      </c>
      <c r="D117" s="1" t="str">
        <f>IFERROR(__xludf.DUMMYFUNCTION("""COMPUTED_VALUE"""),"old_page")</f>
        <v>old_page</v>
      </c>
      <c r="E117" s="1">
        <f>IFERROR(__xludf.DUMMYFUNCTION("""COMPUTED_VALUE"""),0.0)</f>
        <v>0</v>
      </c>
    </row>
    <row r="118">
      <c r="A118" s="1">
        <f>IFERROR(__xludf.DUMMYFUNCTION("""COMPUTED_VALUE"""),721847.0)</f>
        <v>721847</v>
      </c>
      <c r="B118" s="2">
        <f>IFERROR(__xludf.DUMMYFUNCTION("""COMPUTED_VALUE"""),42745.54884687154)</f>
        <v>42745.54885</v>
      </c>
      <c r="C118" s="1" t="str">
        <f>IFERROR(__xludf.DUMMYFUNCTION("""COMPUTED_VALUE"""),"control")</f>
        <v>control</v>
      </c>
      <c r="D118" s="1" t="str">
        <f>IFERROR(__xludf.DUMMYFUNCTION("""COMPUTED_VALUE"""),"old_page")</f>
        <v>old_page</v>
      </c>
      <c r="E118" s="1">
        <f>IFERROR(__xludf.DUMMYFUNCTION("""COMPUTED_VALUE"""),0.0)</f>
        <v>0</v>
      </c>
    </row>
    <row r="119">
      <c r="A119" s="1">
        <f>IFERROR(__xludf.DUMMYFUNCTION("""COMPUTED_VALUE"""),704513.0)</f>
        <v>704513</v>
      </c>
      <c r="B119" s="2">
        <f>IFERROR(__xludf.DUMMYFUNCTION("""COMPUTED_VALUE"""),42755.362886812596)</f>
        <v>42755.36289</v>
      </c>
      <c r="C119" s="1" t="str">
        <f>IFERROR(__xludf.DUMMYFUNCTION("""COMPUTED_VALUE"""),"treatment")</f>
        <v>treatment</v>
      </c>
      <c r="D119" s="1" t="str">
        <f>IFERROR(__xludf.DUMMYFUNCTION("""COMPUTED_VALUE"""),"new_page")</f>
        <v>new_page</v>
      </c>
      <c r="E119" s="1">
        <f>IFERROR(__xludf.DUMMYFUNCTION("""COMPUTED_VALUE"""),1.0)</f>
        <v>1</v>
      </c>
    </row>
    <row r="120">
      <c r="A120" s="1">
        <f>IFERROR(__xludf.DUMMYFUNCTION("""COMPUTED_VALUE"""),675405.0)</f>
        <v>675405</v>
      </c>
      <c r="B120" s="2">
        <f>IFERROR(__xludf.DUMMYFUNCTION("""COMPUTED_VALUE"""),42737.7751914117)</f>
        <v>42737.77519</v>
      </c>
      <c r="C120" s="1" t="str">
        <f>IFERROR(__xludf.DUMMYFUNCTION("""COMPUTED_VALUE"""),"control")</f>
        <v>control</v>
      </c>
      <c r="D120" s="1" t="str">
        <f>IFERROR(__xludf.DUMMYFUNCTION("""COMPUTED_VALUE"""),"old_page")</f>
        <v>old_page</v>
      </c>
      <c r="E120" s="1">
        <f>IFERROR(__xludf.DUMMYFUNCTION("""COMPUTED_VALUE"""),0.0)</f>
        <v>0</v>
      </c>
    </row>
    <row r="121">
      <c r="A121" s="1">
        <f>IFERROR(__xludf.DUMMYFUNCTION("""COMPUTED_VALUE"""),926415.0)</f>
        <v>926415</v>
      </c>
      <c r="B121" s="2">
        <f>IFERROR(__xludf.DUMMYFUNCTION("""COMPUTED_VALUE"""),42746.5669024553)</f>
        <v>42746.5669</v>
      </c>
      <c r="C121" s="1" t="str">
        <f>IFERROR(__xludf.DUMMYFUNCTION("""COMPUTED_VALUE"""),"treatment")</f>
        <v>treatment</v>
      </c>
      <c r="D121" s="1" t="str">
        <f>IFERROR(__xludf.DUMMYFUNCTION("""COMPUTED_VALUE"""),"new_page")</f>
        <v>new_page</v>
      </c>
      <c r="E121" s="1">
        <f>IFERROR(__xludf.DUMMYFUNCTION("""COMPUTED_VALUE"""),0.0)</f>
        <v>0</v>
      </c>
    </row>
    <row r="122">
      <c r="A122" s="1">
        <f>IFERROR(__xludf.DUMMYFUNCTION("""COMPUTED_VALUE"""),919227.0)</f>
        <v>919227</v>
      </c>
      <c r="B122" s="2">
        <f>IFERROR(__xludf.DUMMYFUNCTION("""COMPUTED_VALUE"""),42741.342860095)</f>
        <v>42741.34286</v>
      </c>
      <c r="C122" s="1" t="str">
        <f>IFERROR(__xludf.DUMMYFUNCTION("""COMPUTED_VALUE"""),"control")</f>
        <v>control</v>
      </c>
      <c r="D122" s="1" t="str">
        <f>IFERROR(__xludf.DUMMYFUNCTION("""COMPUTED_VALUE"""),"old_page")</f>
        <v>old_page</v>
      </c>
      <c r="E122" s="1">
        <f>IFERROR(__xludf.DUMMYFUNCTION("""COMPUTED_VALUE"""),0.0)</f>
        <v>0</v>
      </c>
    </row>
    <row r="123">
      <c r="A123" s="1">
        <f>IFERROR(__xludf.DUMMYFUNCTION("""COMPUTED_VALUE"""),730785.0)</f>
        <v>730785</v>
      </c>
      <c r="B123" s="2">
        <f>IFERROR(__xludf.DUMMYFUNCTION("""COMPUTED_VALUE"""),42744.211352335195)</f>
        <v>42744.21135</v>
      </c>
      <c r="C123" s="1" t="str">
        <f>IFERROR(__xludf.DUMMYFUNCTION("""COMPUTED_VALUE"""),"control")</f>
        <v>control</v>
      </c>
      <c r="D123" s="1" t="str">
        <f>IFERROR(__xludf.DUMMYFUNCTION("""COMPUTED_VALUE"""),"old_page")</f>
        <v>old_page</v>
      </c>
      <c r="E123" s="1">
        <f>IFERROR(__xludf.DUMMYFUNCTION("""COMPUTED_VALUE"""),0.0)</f>
        <v>0</v>
      </c>
    </row>
    <row r="124">
      <c r="A124" s="1">
        <f>IFERROR(__xludf.DUMMYFUNCTION("""COMPUTED_VALUE"""),879953.0)</f>
        <v>879953</v>
      </c>
      <c r="B124" s="2">
        <f>IFERROR(__xludf.DUMMYFUNCTION("""COMPUTED_VALUE"""),42752.2524050847)</f>
        <v>42752.25241</v>
      </c>
      <c r="C124" s="1" t="str">
        <f>IFERROR(__xludf.DUMMYFUNCTION("""COMPUTED_VALUE"""),"control")</f>
        <v>control</v>
      </c>
      <c r="D124" s="1" t="str">
        <f>IFERROR(__xludf.DUMMYFUNCTION("""COMPUTED_VALUE"""),"old_page")</f>
        <v>old_page</v>
      </c>
      <c r="E124" s="1">
        <f>IFERROR(__xludf.DUMMYFUNCTION("""COMPUTED_VALUE"""),0.0)</f>
        <v>0</v>
      </c>
    </row>
    <row r="125">
      <c r="A125" s="1">
        <f>IFERROR(__xludf.DUMMYFUNCTION("""COMPUTED_VALUE"""),706463.0)</f>
        <v>706463</v>
      </c>
      <c r="B125" s="2">
        <f>IFERROR(__xludf.DUMMYFUNCTION("""COMPUTED_VALUE"""),42753.008500631884)</f>
        <v>42753.0085</v>
      </c>
      <c r="C125" s="1" t="str">
        <f>IFERROR(__xludf.DUMMYFUNCTION("""COMPUTED_VALUE"""),"treatment")</f>
        <v>treatment</v>
      </c>
      <c r="D125" s="1" t="str">
        <f>IFERROR(__xludf.DUMMYFUNCTION("""COMPUTED_VALUE"""),"new_page")</f>
        <v>new_page</v>
      </c>
      <c r="E125" s="1">
        <f>IFERROR(__xludf.DUMMYFUNCTION("""COMPUTED_VALUE"""),0.0)</f>
        <v>0</v>
      </c>
    </row>
    <row r="126">
      <c r="A126" s="1">
        <f>IFERROR(__xludf.DUMMYFUNCTION("""COMPUTED_VALUE"""),770912.0)</f>
        <v>770912</v>
      </c>
      <c r="B126" s="2">
        <f>IFERROR(__xludf.DUMMYFUNCTION("""COMPUTED_VALUE"""),42744.660445641515)</f>
        <v>42744.66045</v>
      </c>
      <c r="C126" s="1" t="str">
        <f>IFERROR(__xludf.DUMMYFUNCTION("""COMPUTED_VALUE"""),"treatment")</f>
        <v>treatment</v>
      </c>
      <c r="D126" s="1" t="str">
        <f>IFERROR(__xludf.DUMMYFUNCTION("""COMPUTED_VALUE"""),"new_page")</f>
        <v>new_page</v>
      </c>
      <c r="E126" s="1">
        <f>IFERROR(__xludf.DUMMYFUNCTION("""COMPUTED_VALUE"""),0.0)</f>
        <v>0</v>
      </c>
    </row>
    <row r="127">
      <c r="A127" s="1">
        <f>IFERROR(__xludf.DUMMYFUNCTION("""COMPUTED_VALUE"""),888539.0)</f>
        <v>888539</v>
      </c>
      <c r="B127" s="2">
        <f>IFERROR(__xludf.DUMMYFUNCTION("""COMPUTED_VALUE"""),42746.30289718279)</f>
        <v>42746.3029</v>
      </c>
      <c r="C127" s="1" t="str">
        <f>IFERROR(__xludf.DUMMYFUNCTION("""COMPUTED_VALUE"""),"control")</f>
        <v>control</v>
      </c>
      <c r="D127" s="1" t="str">
        <f>IFERROR(__xludf.DUMMYFUNCTION("""COMPUTED_VALUE"""),"old_page")</f>
        <v>old_page</v>
      </c>
      <c r="E127" s="1">
        <f>IFERROR(__xludf.DUMMYFUNCTION("""COMPUTED_VALUE"""),0.0)</f>
        <v>0</v>
      </c>
    </row>
    <row r="128">
      <c r="A128" s="1">
        <f>IFERROR(__xludf.DUMMYFUNCTION("""COMPUTED_VALUE"""),903977.0)</f>
        <v>903977</v>
      </c>
      <c r="B128" s="2">
        <f>IFERROR(__xludf.DUMMYFUNCTION("""COMPUTED_VALUE"""),42741.78334464399)</f>
        <v>42741.78334</v>
      </c>
      <c r="C128" s="1" t="str">
        <f>IFERROR(__xludf.DUMMYFUNCTION("""COMPUTED_VALUE"""),"treatment")</f>
        <v>treatment</v>
      </c>
      <c r="D128" s="1" t="str">
        <f>IFERROR(__xludf.DUMMYFUNCTION("""COMPUTED_VALUE"""),"new_page")</f>
        <v>new_page</v>
      </c>
      <c r="E128" s="1">
        <f>IFERROR(__xludf.DUMMYFUNCTION("""COMPUTED_VALUE"""),1.0)</f>
        <v>1</v>
      </c>
    </row>
    <row r="129">
      <c r="A129" s="1">
        <f>IFERROR(__xludf.DUMMYFUNCTION("""COMPUTED_VALUE"""),920254.0)</f>
        <v>920254</v>
      </c>
      <c r="B129" s="2">
        <f>IFERROR(__xludf.DUMMYFUNCTION("""COMPUTED_VALUE"""),42758.02813343617)</f>
        <v>42758.02813</v>
      </c>
      <c r="C129" s="1" t="str">
        <f>IFERROR(__xludf.DUMMYFUNCTION("""COMPUTED_VALUE"""),"treatment")</f>
        <v>treatment</v>
      </c>
      <c r="D129" s="1" t="str">
        <f>IFERROR(__xludf.DUMMYFUNCTION("""COMPUTED_VALUE"""),"new_page")</f>
        <v>new_page</v>
      </c>
      <c r="E129" s="1">
        <f>IFERROR(__xludf.DUMMYFUNCTION("""COMPUTED_VALUE"""),0.0)</f>
        <v>0</v>
      </c>
    </row>
    <row r="130">
      <c r="A130" s="1">
        <f>IFERROR(__xludf.DUMMYFUNCTION("""COMPUTED_VALUE"""),761924.0)</f>
        <v>761924</v>
      </c>
      <c r="B130" s="2">
        <f>IFERROR(__xludf.DUMMYFUNCTION("""COMPUTED_VALUE"""),42746.410192196876)</f>
        <v>42746.41019</v>
      </c>
      <c r="C130" s="1" t="str">
        <f>IFERROR(__xludf.DUMMYFUNCTION("""COMPUTED_VALUE"""),"control")</f>
        <v>control</v>
      </c>
      <c r="D130" s="1" t="str">
        <f>IFERROR(__xludf.DUMMYFUNCTION("""COMPUTED_VALUE"""),"old_page")</f>
        <v>old_page</v>
      </c>
      <c r="E130" s="1">
        <f>IFERROR(__xludf.DUMMYFUNCTION("""COMPUTED_VALUE"""),0.0)</f>
        <v>0</v>
      </c>
    </row>
    <row r="131">
      <c r="A131" s="1">
        <f>IFERROR(__xludf.DUMMYFUNCTION("""COMPUTED_VALUE"""),684529.0)</f>
        <v>684529</v>
      </c>
      <c r="B131" s="2">
        <f>IFERROR(__xludf.DUMMYFUNCTION("""COMPUTED_VALUE"""),42748.61841555281)</f>
        <v>42748.61842</v>
      </c>
      <c r="C131" s="1" t="str">
        <f>IFERROR(__xludf.DUMMYFUNCTION("""COMPUTED_VALUE"""),"treatment")</f>
        <v>treatment</v>
      </c>
      <c r="D131" s="1" t="str">
        <f>IFERROR(__xludf.DUMMYFUNCTION("""COMPUTED_VALUE"""),"new_page")</f>
        <v>new_page</v>
      </c>
      <c r="E131" s="1">
        <f>IFERROR(__xludf.DUMMYFUNCTION("""COMPUTED_VALUE"""),0.0)</f>
        <v>0</v>
      </c>
    </row>
    <row r="132">
      <c r="A132" s="1">
        <f>IFERROR(__xludf.DUMMYFUNCTION("""COMPUTED_VALUE"""),778727.0)</f>
        <v>778727</v>
      </c>
      <c r="B132" s="2">
        <f>IFERROR(__xludf.DUMMYFUNCTION("""COMPUTED_VALUE"""),42742.61243560367)</f>
        <v>42742.61244</v>
      </c>
      <c r="C132" s="1" t="str">
        <f>IFERROR(__xludf.DUMMYFUNCTION("""COMPUTED_VALUE"""),"treatment")</f>
        <v>treatment</v>
      </c>
      <c r="D132" s="1" t="str">
        <f>IFERROR(__xludf.DUMMYFUNCTION("""COMPUTED_VALUE"""),"new_page")</f>
        <v>new_page</v>
      </c>
      <c r="E132" s="1">
        <f>IFERROR(__xludf.DUMMYFUNCTION("""COMPUTED_VALUE"""),0.0)</f>
        <v>0</v>
      </c>
    </row>
    <row r="133">
      <c r="A133" s="1">
        <f>IFERROR(__xludf.DUMMYFUNCTION("""COMPUTED_VALUE"""),721615.0)</f>
        <v>721615</v>
      </c>
      <c r="B133" s="2">
        <f>IFERROR(__xludf.DUMMYFUNCTION("""COMPUTED_VALUE"""),42754.39364045411)</f>
        <v>42754.39364</v>
      </c>
      <c r="C133" s="1" t="str">
        <f>IFERROR(__xludf.DUMMYFUNCTION("""COMPUTED_VALUE"""),"control")</f>
        <v>control</v>
      </c>
      <c r="D133" s="1" t="str">
        <f>IFERROR(__xludf.DUMMYFUNCTION("""COMPUTED_VALUE"""),"old_page")</f>
        <v>old_page</v>
      </c>
      <c r="E133" s="1">
        <f>IFERROR(__xludf.DUMMYFUNCTION("""COMPUTED_VALUE"""),0.0)</f>
        <v>0</v>
      </c>
    </row>
    <row r="134">
      <c r="A134" s="1">
        <f>IFERROR(__xludf.DUMMYFUNCTION("""COMPUTED_VALUE"""),796510.0)</f>
        <v>796510</v>
      </c>
      <c r="B134" s="2">
        <f>IFERROR(__xludf.DUMMYFUNCTION("""COMPUTED_VALUE"""),42750.010212567904)</f>
        <v>42750.01021</v>
      </c>
      <c r="C134" s="1" t="str">
        <f>IFERROR(__xludf.DUMMYFUNCTION("""COMPUTED_VALUE"""),"control")</f>
        <v>control</v>
      </c>
      <c r="D134" s="1" t="str">
        <f>IFERROR(__xludf.DUMMYFUNCTION("""COMPUTED_VALUE"""),"old_page")</f>
        <v>old_page</v>
      </c>
      <c r="E134" s="1">
        <f>IFERROR(__xludf.DUMMYFUNCTION("""COMPUTED_VALUE"""),0.0)</f>
        <v>0</v>
      </c>
    </row>
    <row r="135">
      <c r="A135" s="1">
        <f>IFERROR(__xludf.DUMMYFUNCTION("""COMPUTED_VALUE"""),871947.0)</f>
        <v>871947</v>
      </c>
      <c r="B135" s="2">
        <f>IFERROR(__xludf.DUMMYFUNCTION("""COMPUTED_VALUE"""),42750.389243542006)</f>
        <v>42750.38924</v>
      </c>
      <c r="C135" s="1" t="str">
        <f>IFERROR(__xludf.DUMMYFUNCTION("""COMPUTED_VALUE"""),"control")</f>
        <v>control</v>
      </c>
      <c r="D135" s="1" t="str">
        <f>IFERROR(__xludf.DUMMYFUNCTION("""COMPUTED_VALUE"""),"old_page")</f>
        <v>old_page</v>
      </c>
      <c r="E135" s="1">
        <f>IFERROR(__xludf.DUMMYFUNCTION("""COMPUTED_VALUE"""),0.0)</f>
        <v>0</v>
      </c>
    </row>
    <row r="136">
      <c r="A136" s="1">
        <f>IFERROR(__xludf.DUMMYFUNCTION("""COMPUTED_VALUE"""),809512.0)</f>
        <v>809512</v>
      </c>
      <c r="B136" s="2">
        <f>IFERROR(__xludf.DUMMYFUNCTION("""COMPUTED_VALUE"""),42750.955774717615)</f>
        <v>42750.95577</v>
      </c>
      <c r="C136" s="1" t="str">
        <f>IFERROR(__xludf.DUMMYFUNCTION("""COMPUTED_VALUE"""),"control")</f>
        <v>control</v>
      </c>
      <c r="D136" s="1" t="str">
        <f>IFERROR(__xludf.DUMMYFUNCTION("""COMPUTED_VALUE"""),"old_page")</f>
        <v>old_page</v>
      </c>
      <c r="E136" s="1">
        <f>IFERROR(__xludf.DUMMYFUNCTION("""COMPUTED_VALUE"""),0.0)</f>
        <v>0</v>
      </c>
    </row>
    <row r="137">
      <c r="A137" s="1">
        <f>IFERROR(__xludf.DUMMYFUNCTION("""COMPUTED_VALUE"""),732099.0)</f>
        <v>732099</v>
      </c>
      <c r="B137" s="2">
        <f>IFERROR(__xludf.DUMMYFUNCTION("""COMPUTED_VALUE"""),42758.830402355)</f>
        <v>42758.8304</v>
      </c>
      <c r="C137" s="1" t="str">
        <f>IFERROR(__xludf.DUMMYFUNCTION("""COMPUTED_VALUE"""),"treatment")</f>
        <v>treatment</v>
      </c>
      <c r="D137" s="1" t="str">
        <f>IFERROR(__xludf.DUMMYFUNCTION("""COMPUTED_VALUE"""),"new_page")</f>
        <v>new_page</v>
      </c>
      <c r="E137" s="1">
        <f>IFERROR(__xludf.DUMMYFUNCTION("""COMPUTED_VALUE"""),1.0)</f>
        <v>1</v>
      </c>
    </row>
    <row r="138">
      <c r="A138" s="1">
        <f>IFERROR(__xludf.DUMMYFUNCTION("""COMPUTED_VALUE"""),769648.0)</f>
        <v>769648</v>
      </c>
      <c r="B138" s="2">
        <f>IFERROR(__xludf.DUMMYFUNCTION("""COMPUTED_VALUE"""),42744.82198949046)</f>
        <v>42744.82199</v>
      </c>
      <c r="C138" s="1" t="str">
        <f>IFERROR(__xludf.DUMMYFUNCTION("""COMPUTED_VALUE"""),"treatment")</f>
        <v>treatment</v>
      </c>
      <c r="D138" s="1" t="str">
        <f>IFERROR(__xludf.DUMMYFUNCTION("""COMPUTED_VALUE"""),"new_page")</f>
        <v>new_page</v>
      </c>
      <c r="E138" s="1">
        <f>IFERROR(__xludf.DUMMYFUNCTION("""COMPUTED_VALUE"""),0.0)</f>
        <v>0</v>
      </c>
    </row>
    <row r="139">
      <c r="A139" s="1">
        <f>IFERROR(__xludf.DUMMYFUNCTION("""COMPUTED_VALUE"""),658404.0)</f>
        <v>658404</v>
      </c>
      <c r="B139" s="2">
        <f>IFERROR(__xludf.DUMMYFUNCTION("""COMPUTED_VALUE"""),42755.39205742827)</f>
        <v>42755.39206</v>
      </c>
      <c r="C139" s="1" t="str">
        <f>IFERROR(__xludf.DUMMYFUNCTION("""COMPUTED_VALUE"""),"treatment")</f>
        <v>treatment</v>
      </c>
      <c r="D139" s="1" t="str">
        <f>IFERROR(__xludf.DUMMYFUNCTION("""COMPUTED_VALUE"""),"new_page")</f>
        <v>new_page</v>
      </c>
      <c r="E139" s="1">
        <f>IFERROR(__xludf.DUMMYFUNCTION("""COMPUTED_VALUE"""),0.0)</f>
        <v>0</v>
      </c>
    </row>
    <row r="140">
      <c r="A140" s="1">
        <f>IFERROR(__xludf.DUMMYFUNCTION("""COMPUTED_VALUE"""),652015.0)</f>
        <v>652015</v>
      </c>
      <c r="B140" s="2">
        <f>IFERROR(__xludf.DUMMYFUNCTION("""COMPUTED_VALUE"""),42738.20833163789)</f>
        <v>42738.20833</v>
      </c>
      <c r="C140" s="1" t="str">
        <f>IFERROR(__xludf.DUMMYFUNCTION("""COMPUTED_VALUE"""),"treatment")</f>
        <v>treatment</v>
      </c>
      <c r="D140" s="1" t="str">
        <f>IFERROR(__xludf.DUMMYFUNCTION("""COMPUTED_VALUE"""),"new_page")</f>
        <v>new_page</v>
      </c>
      <c r="E140" s="1">
        <f>IFERROR(__xludf.DUMMYFUNCTION("""COMPUTED_VALUE"""),1.0)</f>
        <v>1</v>
      </c>
    </row>
    <row r="141">
      <c r="A141" s="1">
        <f>IFERROR(__xludf.DUMMYFUNCTION("""COMPUTED_VALUE"""),896902.0)</f>
        <v>896902</v>
      </c>
      <c r="B141" s="2">
        <f>IFERROR(__xludf.DUMMYFUNCTION("""COMPUTED_VALUE"""),42741.06480637932)</f>
        <v>42741.06481</v>
      </c>
      <c r="C141" s="1" t="str">
        <f>IFERROR(__xludf.DUMMYFUNCTION("""COMPUTED_VALUE"""),"treatment")</f>
        <v>treatment</v>
      </c>
      <c r="D141" s="1" t="str">
        <f>IFERROR(__xludf.DUMMYFUNCTION("""COMPUTED_VALUE"""),"new_page")</f>
        <v>new_page</v>
      </c>
      <c r="E141" s="1">
        <f>IFERROR(__xludf.DUMMYFUNCTION("""COMPUTED_VALUE"""),0.0)</f>
        <v>0</v>
      </c>
    </row>
    <row r="142">
      <c r="A142" s="1">
        <f>IFERROR(__xludf.DUMMYFUNCTION("""COMPUTED_VALUE"""),798294.0)</f>
        <v>798294</v>
      </c>
      <c r="B142" s="2">
        <f>IFERROR(__xludf.DUMMYFUNCTION("""COMPUTED_VALUE"""),42753.17053341705)</f>
        <v>42753.17053</v>
      </c>
      <c r="C142" s="1" t="str">
        <f>IFERROR(__xludf.DUMMYFUNCTION("""COMPUTED_VALUE"""),"treatment")</f>
        <v>treatment</v>
      </c>
      <c r="D142" s="1" t="str">
        <f>IFERROR(__xludf.DUMMYFUNCTION("""COMPUTED_VALUE"""),"new_page")</f>
        <v>new_page</v>
      </c>
      <c r="E142" s="1">
        <f>IFERROR(__xludf.DUMMYFUNCTION("""COMPUTED_VALUE"""),0.0)</f>
        <v>0</v>
      </c>
    </row>
    <row r="143">
      <c r="A143" s="1">
        <f>IFERROR(__xludf.DUMMYFUNCTION("""COMPUTED_VALUE"""),738778.0)</f>
        <v>738778</v>
      </c>
      <c r="B143" s="2">
        <f>IFERROR(__xludf.DUMMYFUNCTION("""COMPUTED_VALUE"""),42758.65322753525)</f>
        <v>42758.65323</v>
      </c>
      <c r="C143" s="1" t="str">
        <f>IFERROR(__xludf.DUMMYFUNCTION("""COMPUTED_VALUE"""),"control")</f>
        <v>control</v>
      </c>
      <c r="D143" s="1" t="str">
        <f>IFERROR(__xludf.DUMMYFUNCTION("""COMPUTED_VALUE"""),"old_page")</f>
        <v>old_page</v>
      </c>
      <c r="E143" s="1">
        <f>IFERROR(__xludf.DUMMYFUNCTION("""COMPUTED_VALUE"""),0.0)</f>
        <v>0</v>
      </c>
    </row>
    <row r="144">
      <c r="A144" s="1">
        <f>IFERROR(__xludf.DUMMYFUNCTION("""COMPUTED_VALUE"""),938283.0)</f>
        <v>938283</v>
      </c>
      <c r="B144" s="2">
        <f>IFERROR(__xludf.DUMMYFUNCTION("""COMPUTED_VALUE"""),42746.57377733503)</f>
        <v>42746.57378</v>
      </c>
      <c r="C144" s="1" t="str">
        <f>IFERROR(__xludf.DUMMYFUNCTION("""COMPUTED_VALUE"""),"control")</f>
        <v>control</v>
      </c>
      <c r="D144" s="1" t="str">
        <f>IFERROR(__xludf.DUMMYFUNCTION("""COMPUTED_VALUE"""),"old_page")</f>
        <v>old_page</v>
      </c>
      <c r="E144" s="1">
        <f>IFERROR(__xludf.DUMMYFUNCTION("""COMPUTED_VALUE"""),1.0)</f>
        <v>1</v>
      </c>
    </row>
    <row r="145">
      <c r="A145" s="1">
        <f>IFERROR(__xludf.DUMMYFUNCTION("""COMPUTED_VALUE"""),932725.0)</f>
        <v>932725</v>
      </c>
      <c r="B145" s="2">
        <f>IFERROR(__xludf.DUMMYFUNCTION("""COMPUTED_VALUE"""),42748.34135483578)</f>
        <v>42748.34135</v>
      </c>
      <c r="C145" s="1" t="str">
        <f>IFERROR(__xludf.DUMMYFUNCTION("""COMPUTED_VALUE"""),"treatment")</f>
        <v>treatment</v>
      </c>
      <c r="D145" s="1" t="str">
        <f>IFERROR(__xludf.DUMMYFUNCTION("""COMPUTED_VALUE"""),"new_page")</f>
        <v>new_page</v>
      </c>
      <c r="E145" s="1">
        <f>IFERROR(__xludf.DUMMYFUNCTION("""COMPUTED_VALUE"""),0.0)</f>
        <v>0</v>
      </c>
    </row>
    <row r="146">
      <c r="A146" s="1">
        <f>IFERROR(__xludf.DUMMYFUNCTION("""COMPUTED_VALUE"""),686611.0)</f>
        <v>686611</v>
      </c>
      <c r="B146" s="2">
        <f>IFERROR(__xludf.DUMMYFUNCTION("""COMPUTED_VALUE"""),42740.37151441765)</f>
        <v>42740.37151</v>
      </c>
      <c r="C146" s="1" t="str">
        <f>IFERROR(__xludf.DUMMYFUNCTION("""COMPUTED_VALUE"""),"control")</f>
        <v>control</v>
      </c>
      <c r="D146" s="1" t="str">
        <f>IFERROR(__xludf.DUMMYFUNCTION("""COMPUTED_VALUE"""),"old_page")</f>
        <v>old_page</v>
      </c>
      <c r="E146" s="1">
        <f>IFERROR(__xludf.DUMMYFUNCTION("""COMPUTED_VALUE"""),0.0)</f>
        <v>0</v>
      </c>
    </row>
    <row r="147">
      <c r="A147" s="1">
        <f>IFERROR(__xludf.DUMMYFUNCTION("""COMPUTED_VALUE"""),857251.0)</f>
        <v>857251</v>
      </c>
      <c r="B147" s="2">
        <f>IFERROR(__xludf.DUMMYFUNCTION("""COMPUTED_VALUE"""),42749.64502102793)</f>
        <v>42749.64502</v>
      </c>
      <c r="C147" s="1" t="str">
        <f>IFERROR(__xludf.DUMMYFUNCTION("""COMPUTED_VALUE"""),"control")</f>
        <v>control</v>
      </c>
      <c r="D147" s="1" t="str">
        <f>IFERROR(__xludf.DUMMYFUNCTION("""COMPUTED_VALUE"""),"old_page")</f>
        <v>old_page</v>
      </c>
      <c r="E147" s="1">
        <f>IFERROR(__xludf.DUMMYFUNCTION("""COMPUTED_VALUE"""),1.0)</f>
        <v>1</v>
      </c>
    </row>
    <row r="148">
      <c r="A148" s="1">
        <f>IFERROR(__xludf.DUMMYFUNCTION("""COMPUTED_VALUE"""),771871.0)</f>
        <v>771871</v>
      </c>
      <c r="B148" s="2">
        <f>IFERROR(__xludf.DUMMYFUNCTION("""COMPUTED_VALUE"""),42744.55566143611)</f>
        <v>42744.55566</v>
      </c>
      <c r="C148" s="1" t="str">
        <f>IFERROR(__xludf.DUMMYFUNCTION("""COMPUTED_VALUE"""),"control")</f>
        <v>control</v>
      </c>
      <c r="D148" s="1" t="str">
        <f>IFERROR(__xludf.DUMMYFUNCTION("""COMPUTED_VALUE"""),"old_page")</f>
        <v>old_page</v>
      </c>
      <c r="E148" s="1">
        <f>IFERROR(__xludf.DUMMYFUNCTION("""COMPUTED_VALUE"""),0.0)</f>
        <v>0</v>
      </c>
    </row>
    <row r="149">
      <c r="A149" s="1">
        <f>IFERROR(__xludf.DUMMYFUNCTION("""COMPUTED_VALUE"""),887171.0)</f>
        <v>887171</v>
      </c>
      <c r="B149" s="2">
        <f>IFERROR(__xludf.DUMMYFUNCTION("""COMPUTED_VALUE"""),42746.6201461503)</f>
        <v>42746.62015</v>
      </c>
      <c r="C149" s="1" t="str">
        <f>IFERROR(__xludf.DUMMYFUNCTION("""COMPUTED_VALUE"""),"treatment")</f>
        <v>treatment</v>
      </c>
      <c r="D149" s="1" t="str">
        <f>IFERROR(__xludf.DUMMYFUNCTION("""COMPUTED_VALUE"""),"new_page")</f>
        <v>new_page</v>
      </c>
      <c r="E149" s="1">
        <f>IFERROR(__xludf.DUMMYFUNCTION("""COMPUTED_VALUE"""),0.0)</f>
        <v>0</v>
      </c>
    </row>
    <row r="150">
      <c r="A150" s="1">
        <f>IFERROR(__xludf.DUMMYFUNCTION("""COMPUTED_VALUE"""),919633.0)</f>
        <v>919633</v>
      </c>
      <c r="B150" s="2">
        <f>IFERROR(__xludf.DUMMYFUNCTION("""COMPUTED_VALUE"""),42753.503137609514)</f>
        <v>42753.50314</v>
      </c>
      <c r="C150" s="1" t="str">
        <f>IFERROR(__xludf.DUMMYFUNCTION("""COMPUTED_VALUE"""),"treatment")</f>
        <v>treatment</v>
      </c>
      <c r="D150" s="1" t="str">
        <f>IFERROR(__xludf.DUMMYFUNCTION("""COMPUTED_VALUE"""),"new_page")</f>
        <v>new_page</v>
      </c>
      <c r="E150" s="1">
        <f>IFERROR(__xludf.DUMMYFUNCTION("""COMPUTED_VALUE"""),0.0)</f>
        <v>0</v>
      </c>
    </row>
    <row r="151">
      <c r="A151" s="1">
        <f>IFERROR(__xludf.DUMMYFUNCTION("""COMPUTED_VALUE"""),803036.0)</f>
        <v>803036</v>
      </c>
      <c r="B151" s="2">
        <f>IFERROR(__xludf.DUMMYFUNCTION("""COMPUTED_VALUE"""),42753.67479385158)</f>
        <v>42753.67479</v>
      </c>
      <c r="C151" s="1" t="str">
        <f>IFERROR(__xludf.DUMMYFUNCTION("""COMPUTED_VALUE"""),"treatment")</f>
        <v>treatment</v>
      </c>
      <c r="D151" s="1" t="str">
        <f>IFERROR(__xludf.DUMMYFUNCTION("""COMPUTED_VALUE"""),"new_page")</f>
        <v>new_page</v>
      </c>
      <c r="E151" s="1">
        <f>IFERROR(__xludf.DUMMYFUNCTION("""COMPUTED_VALUE"""),1.0)</f>
        <v>1</v>
      </c>
    </row>
    <row r="152">
      <c r="A152" s="1">
        <f>IFERROR(__xludf.DUMMYFUNCTION("""COMPUTED_VALUE"""),820420.0)</f>
        <v>820420</v>
      </c>
      <c r="B152" s="2">
        <f>IFERROR(__xludf.DUMMYFUNCTION("""COMPUTED_VALUE"""),42745.64579695412)</f>
        <v>42745.6458</v>
      </c>
      <c r="C152" s="1" t="str">
        <f>IFERROR(__xludf.DUMMYFUNCTION("""COMPUTED_VALUE"""),"control")</f>
        <v>control</v>
      </c>
      <c r="D152" s="1" t="str">
        <f>IFERROR(__xludf.DUMMYFUNCTION("""COMPUTED_VALUE"""),"old_page")</f>
        <v>old_page</v>
      </c>
      <c r="E152" s="1">
        <f>IFERROR(__xludf.DUMMYFUNCTION("""COMPUTED_VALUE"""),0.0)</f>
        <v>0</v>
      </c>
    </row>
    <row r="153">
      <c r="A153" s="1">
        <f>IFERROR(__xludf.DUMMYFUNCTION("""COMPUTED_VALUE"""),941969.0)</f>
        <v>941969</v>
      </c>
      <c r="B153" s="2">
        <f>IFERROR(__xludf.DUMMYFUNCTION("""COMPUTED_VALUE"""),42758.19384839067)</f>
        <v>42758.19385</v>
      </c>
      <c r="C153" s="1" t="str">
        <f>IFERROR(__xludf.DUMMYFUNCTION("""COMPUTED_VALUE"""),"treatment")</f>
        <v>treatment</v>
      </c>
      <c r="D153" s="1" t="str">
        <f>IFERROR(__xludf.DUMMYFUNCTION("""COMPUTED_VALUE"""),"new_page")</f>
        <v>new_page</v>
      </c>
      <c r="E153" s="1">
        <f>IFERROR(__xludf.DUMMYFUNCTION("""COMPUTED_VALUE"""),0.0)</f>
        <v>0</v>
      </c>
    </row>
    <row r="154">
      <c r="A154" s="1">
        <f>IFERROR(__xludf.DUMMYFUNCTION("""COMPUTED_VALUE"""),884825.0)</f>
        <v>884825</v>
      </c>
      <c r="B154" s="2">
        <f>IFERROR(__xludf.DUMMYFUNCTION("""COMPUTED_VALUE"""),42744.011719029586)</f>
        <v>42744.01172</v>
      </c>
      <c r="C154" s="1" t="str">
        <f>IFERROR(__xludf.DUMMYFUNCTION("""COMPUTED_VALUE"""),"treatment")</f>
        <v>treatment</v>
      </c>
      <c r="D154" s="1" t="str">
        <f>IFERROR(__xludf.DUMMYFUNCTION("""COMPUTED_VALUE"""),"new_page")</f>
        <v>new_page</v>
      </c>
      <c r="E154" s="1">
        <f>IFERROR(__xludf.DUMMYFUNCTION("""COMPUTED_VALUE"""),0.0)</f>
        <v>0</v>
      </c>
    </row>
    <row r="155">
      <c r="A155" s="1">
        <f>IFERROR(__xludf.DUMMYFUNCTION("""COMPUTED_VALUE"""),726740.0)</f>
        <v>726740</v>
      </c>
      <c r="B155" s="2">
        <f>IFERROR(__xludf.DUMMYFUNCTION("""COMPUTED_VALUE"""),42742.86078773139)</f>
        <v>42742.86079</v>
      </c>
      <c r="C155" s="1" t="str">
        <f>IFERROR(__xludf.DUMMYFUNCTION("""COMPUTED_VALUE"""),"control")</f>
        <v>control</v>
      </c>
      <c r="D155" s="1" t="str">
        <f>IFERROR(__xludf.DUMMYFUNCTION("""COMPUTED_VALUE"""),"old_page")</f>
        <v>old_page</v>
      </c>
      <c r="E155" s="1">
        <f>IFERROR(__xludf.DUMMYFUNCTION("""COMPUTED_VALUE"""),0.0)</f>
        <v>0</v>
      </c>
    </row>
    <row r="156">
      <c r="A156" s="1">
        <f>IFERROR(__xludf.DUMMYFUNCTION("""COMPUTED_VALUE"""),850887.0)</f>
        <v>850887</v>
      </c>
      <c r="B156" s="2">
        <f>IFERROR(__xludf.DUMMYFUNCTION("""COMPUTED_VALUE"""),42754.3905010146)</f>
        <v>42754.3905</v>
      </c>
      <c r="C156" s="1" t="str">
        <f>IFERROR(__xludf.DUMMYFUNCTION("""COMPUTED_VALUE"""),"control")</f>
        <v>control</v>
      </c>
      <c r="D156" s="1" t="str">
        <f>IFERROR(__xludf.DUMMYFUNCTION("""COMPUTED_VALUE"""),"old_page")</f>
        <v>old_page</v>
      </c>
      <c r="E156" s="1">
        <f>IFERROR(__xludf.DUMMYFUNCTION("""COMPUTED_VALUE"""),0.0)</f>
        <v>0</v>
      </c>
    </row>
    <row r="157">
      <c r="A157" s="1">
        <f>IFERROR(__xludf.DUMMYFUNCTION("""COMPUTED_VALUE"""),916494.0)</f>
        <v>916494</v>
      </c>
      <c r="B157" s="2">
        <f>IFERROR(__xludf.DUMMYFUNCTION("""COMPUTED_VALUE"""),42757.77184570647)</f>
        <v>42757.77185</v>
      </c>
      <c r="C157" s="1" t="str">
        <f>IFERROR(__xludf.DUMMYFUNCTION("""COMPUTED_VALUE"""),"control")</f>
        <v>control</v>
      </c>
      <c r="D157" s="1" t="str">
        <f>IFERROR(__xludf.DUMMYFUNCTION("""COMPUTED_VALUE"""),"old_page")</f>
        <v>old_page</v>
      </c>
      <c r="E157" s="1">
        <f>IFERROR(__xludf.DUMMYFUNCTION("""COMPUTED_VALUE"""),0.0)</f>
        <v>0</v>
      </c>
    </row>
    <row r="158">
      <c r="A158" s="1">
        <f>IFERROR(__xludf.DUMMYFUNCTION("""COMPUTED_VALUE"""),804852.0)</f>
        <v>804852</v>
      </c>
      <c r="B158" s="2">
        <f>IFERROR(__xludf.DUMMYFUNCTION("""COMPUTED_VALUE"""),42751.14598211496)</f>
        <v>42751.14598</v>
      </c>
      <c r="C158" s="1" t="str">
        <f>IFERROR(__xludf.DUMMYFUNCTION("""COMPUTED_VALUE"""),"control")</f>
        <v>control</v>
      </c>
      <c r="D158" s="1" t="str">
        <f>IFERROR(__xludf.DUMMYFUNCTION("""COMPUTED_VALUE"""),"old_page")</f>
        <v>old_page</v>
      </c>
      <c r="E158" s="1">
        <f>IFERROR(__xludf.DUMMYFUNCTION("""COMPUTED_VALUE"""),0.0)</f>
        <v>0</v>
      </c>
    </row>
    <row r="159">
      <c r="A159" s="1">
        <f>IFERROR(__xludf.DUMMYFUNCTION("""COMPUTED_VALUE"""),718429.0)</f>
        <v>718429</v>
      </c>
      <c r="B159" s="2">
        <f>IFERROR(__xludf.DUMMYFUNCTION("""COMPUTED_VALUE"""),42743.14401999849)</f>
        <v>42743.14402</v>
      </c>
      <c r="C159" s="1" t="str">
        <f>IFERROR(__xludf.DUMMYFUNCTION("""COMPUTED_VALUE"""),"control")</f>
        <v>control</v>
      </c>
      <c r="D159" s="1" t="str">
        <f>IFERROR(__xludf.DUMMYFUNCTION("""COMPUTED_VALUE"""),"old_page")</f>
        <v>old_page</v>
      </c>
      <c r="E159" s="1">
        <f>IFERROR(__xludf.DUMMYFUNCTION("""COMPUTED_VALUE"""),0.0)</f>
        <v>0</v>
      </c>
    </row>
    <row r="160">
      <c r="A160" s="1">
        <f>IFERROR(__xludf.DUMMYFUNCTION("""COMPUTED_VALUE"""),888569.0)</f>
        <v>888569</v>
      </c>
      <c r="B160" s="2">
        <f>IFERROR(__xludf.DUMMYFUNCTION("""COMPUTED_VALUE"""),42754.22677102812)</f>
        <v>42754.22677</v>
      </c>
      <c r="C160" s="1" t="str">
        <f>IFERROR(__xludf.DUMMYFUNCTION("""COMPUTED_VALUE"""),"treatment")</f>
        <v>treatment</v>
      </c>
      <c r="D160" s="1" t="str">
        <f>IFERROR(__xludf.DUMMYFUNCTION("""COMPUTED_VALUE"""),"new_page")</f>
        <v>new_page</v>
      </c>
      <c r="E160" s="1">
        <f>IFERROR(__xludf.DUMMYFUNCTION("""COMPUTED_VALUE"""),0.0)</f>
        <v>0</v>
      </c>
    </row>
    <row r="161">
      <c r="A161" s="1">
        <f>IFERROR(__xludf.DUMMYFUNCTION("""COMPUTED_VALUE"""),640327.0)</f>
        <v>640327</v>
      </c>
      <c r="B161" s="2">
        <f>IFERROR(__xludf.DUMMYFUNCTION("""COMPUTED_VALUE"""),42743.59277479646)</f>
        <v>42743.59277</v>
      </c>
      <c r="C161" s="1" t="str">
        <f>IFERROR(__xludf.DUMMYFUNCTION("""COMPUTED_VALUE"""),"treatment")</f>
        <v>treatment</v>
      </c>
      <c r="D161" s="1" t="str">
        <f>IFERROR(__xludf.DUMMYFUNCTION("""COMPUTED_VALUE"""),"new_page")</f>
        <v>new_page</v>
      </c>
      <c r="E161" s="1">
        <f>IFERROR(__xludf.DUMMYFUNCTION("""COMPUTED_VALUE"""),0.0)</f>
        <v>0</v>
      </c>
    </row>
    <row r="162">
      <c r="A162" s="1">
        <f>IFERROR(__xludf.DUMMYFUNCTION("""COMPUTED_VALUE"""),676448.0)</f>
        <v>676448</v>
      </c>
      <c r="B162" s="2">
        <f>IFERROR(__xludf.DUMMYFUNCTION("""COMPUTED_VALUE"""),42747.25753022932)</f>
        <v>42747.25753</v>
      </c>
      <c r="C162" s="1" t="str">
        <f>IFERROR(__xludf.DUMMYFUNCTION("""COMPUTED_VALUE"""),"treatment")</f>
        <v>treatment</v>
      </c>
      <c r="D162" s="1" t="str">
        <f>IFERROR(__xludf.DUMMYFUNCTION("""COMPUTED_VALUE"""),"new_page")</f>
        <v>new_page</v>
      </c>
      <c r="E162" s="1">
        <f>IFERROR(__xludf.DUMMYFUNCTION("""COMPUTED_VALUE"""),0.0)</f>
        <v>0</v>
      </c>
    </row>
    <row r="163">
      <c r="A163" s="1">
        <f>IFERROR(__xludf.DUMMYFUNCTION("""COMPUTED_VALUE"""),874669.0)</f>
        <v>874669</v>
      </c>
      <c r="B163" s="2">
        <f>IFERROR(__xludf.DUMMYFUNCTION("""COMPUTED_VALUE"""),42754.645015827744)</f>
        <v>42754.64502</v>
      </c>
      <c r="C163" s="1" t="str">
        <f>IFERROR(__xludf.DUMMYFUNCTION("""COMPUTED_VALUE"""),"control")</f>
        <v>control</v>
      </c>
      <c r="D163" s="1" t="str">
        <f>IFERROR(__xludf.DUMMYFUNCTION("""COMPUTED_VALUE"""),"old_page")</f>
        <v>old_page</v>
      </c>
      <c r="E163" s="1">
        <f>IFERROR(__xludf.DUMMYFUNCTION("""COMPUTED_VALUE"""),0.0)</f>
        <v>0</v>
      </c>
    </row>
    <row r="164">
      <c r="A164" s="1">
        <f>IFERROR(__xludf.DUMMYFUNCTION("""COMPUTED_VALUE"""),662835.0)</f>
        <v>662835</v>
      </c>
      <c r="B164" s="2">
        <f>IFERROR(__xludf.DUMMYFUNCTION("""COMPUTED_VALUE"""),42754.167675678626)</f>
        <v>42754.16768</v>
      </c>
      <c r="C164" s="1" t="str">
        <f>IFERROR(__xludf.DUMMYFUNCTION("""COMPUTED_VALUE"""),"control")</f>
        <v>control</v>
      </c>
      <c r="D164" s="1" t="str">
        <f>IFERROR(__xludf.DUMMYFUNCTION("""COMPUTED_VALUE"""),"old_page")</f>
        <v>old_page</v>
      </c>
      <c r="E164" s="1">
        <f>IFERROR(__xludf.DUMMYFUNCTION("""COMPUTED_VALUE"""),0.0)</f>
        <v>0</v>
      </c>
    </row>
    <row r="165">
      <c r="A165" s="1">
        <f>IFERROR(__xludf.DUMMYFUNCTION("""COMPUTED_VALUE"""),689445.0)</f>
        <v>689445</v>
      </c>
      <c r="B165" s="2">
        <f>IFERROR(__xludf.DUMMYFUNCTION("""COMPUTED_VALUE"""),42740.1075017931)</f>
        <v>42740.1075</v>
      </c>
      <c r="C165" s="1" t="str">
        <f>IFERROR(__xludf.DUMMYFUNCTION("""COMPUTED_VALUE"""),"treatment")</f>
        <v>treatment</v>
      </c>
      <c r="D165" s="1" t="str">
        <f>IFERROR(__xludf.DUMMYFUNCTION("""COMPUTED_VALUE"""),"new_page")</f>
        <v>new_page</v>
      </c>
      <c r="E165" s="1">
        <f>IFERROR(__xludf.DUMMYFUNCTION("""COMPUTED_VALUE"""),0.0)</f>
        <v>0</v>
      </c>
    </row>
    <row r="166">
      <c r="A166" s="1">
        <f>IFERROR(__xludf.DUMMYFUNCTION("""COMPUTED_VALUE"""),631625.0)</f>
        <v>631625</v>
      </c>
      <c r="B166" s="2">
        <f>IFERROR(__xludf.DUMMYFUNCTION("""COMPUTED_VALUE"""),42740.97909427877)</f>
        <v>42740.97909</v>
      </c>
      <c r="C166" s="1" t="str">
        <f>IFERROR(__xludf.DUMMYFUNCTION("""COMPUTED_VALUE"""),"control")</f>
        <v>control</v>
      </c>
      <c r="D166" s="1" t="str">
        <f>IFERROR(__xludf.DUMMYFUNCTION("""COMPUTED_VALUE"""),"old_page")</f>
        <v>old_page</v>
      </c>
      <c r="E166" s="1">
        <f>IFERROR(__xludf.DUMMYFUNCTION("""COMPUTED_VALUE"""),0.0)</f>
        <v>0</v>
      </c>
    </row>
    <row r="167">
      <c r="A167" s="1">
        <f>IFERROR(__xludf.DUMMYFUNCTION("""COMPUTED_VALUE"""),916276.0)</f>
        <v>916276</v>
      </c>
      <c r="B167" s="2">
        <f>IFERROR(__xludf.DUMMYFUNCTION("""COMPUTED_VALUE"""),42743.929548351225)</f>
        <v>42743.92955</v>
      </c>
      <c r="C167" s="1" t="str">
        <f>IFERROR(__xludf.DUMMYFUNCTION("""COMPUTED_VALUE"""),"control")</f>
        <v>control</v>
      </c>
      <c r="D167" s="1" t="str">
        <f>IFERROR(__xludf.DUMMYFUNCTION("""COMPUTED_VALUE"""),"old_page")</f>
        <v>old_page</v>
      </c>
      <c r="E167" s="1">
        <f>IFERROR(__xludf.DUMMYFUNCTION("""COMPUTED_VALUE"""),1.0)</f>
        <v>1</v>
      </c>
    </row>
    <row r="168">
      <c r="A168" s="1">
        <f>IFERROR(__xludf.DUMMYFUNCTION("""COMPUTED_VALUE"""),810925.0)</f>
        <v>810925</v>
      </c>
      <c r="B168" s="2">
        <f>IFERROR(__xludf.DUMMYFUNCTION("""COMPUTED_VALUE"""),42751.51519239121)</f>
        <v>42751.51519</v>
      </c>
      <c r="C168" s="1" t="str">
        <f>IFERROR(__xludf.DUMMYFUNCTION("""COMPUTED_VALUE"""),"treatment")</f>
        <v>treatment</v>
      </c>
      <c r="D168" s="1" t="str">
        <f>IFERROR(__xludf.DUMMYFUNCTION("""COMPUTED_VALUE"""),"new_page")</f>
        <v>new_page</v>
      </c>
      <c r="E168" s="1">
        <f>IFERROR(__xludf.DUMMYFUNCTION("""COMPUTED_VALUE"""),0.0)</f>
        <v>0</v>
      </c>
    </row>
    <row r="169">
      <c r="A169" s="1">
        <f>IFERROR(__xludf.DUMMYFUNCTION("""COMPUTED_VALUE"""),678160.0)</f>
        <v>678160</v>
      </c>
      <c r="B169" s="2">
        <f>IFERROR(__xludf.DUMMYFUNCTION("""COMPUTED_VALUE"""),42753.376512866584)</f>
        <v>42753.37651</v>
      </c>
      <c r="C169" s="1" t="str">
        <f>IFERROR(__xludf.DUMMYFUNCTION("""COMPUTED_VALUE"""),"treatment")</f>
        <v>treatment</v>
      </c>
      <c r="D169" s="1" t="str">
        <f>IFERROR(__xludf.DUMMYFUNCTION("""COMPUTED_VALUE"""),"new_page")</f>
        <v>new_page</v>
      </c>
      <c r="E169" s="1">
        <f>IFERROR(__xludf.DUMMYFUNCTION("""COMPUTED_VALUE"""),1.0)</f>
        <v>1</v>
      </c>
    </row>
    <row r="170">
      <c r="A170" s="1">
        <f>IFERROR(__xludf.DUMMYFUNCTION("""COMPUTED_VALUE"""),686917.0)</f>
        <v>686917</v>
      </c>
      <c r="B170" s="2">
        <f>IFERROR(__xludf.DUMMYFUNCTION("""COMPUTED_VALUE"""),42749.5566243603)</f>
        <v>42749.55662</v>
      </c>
      <c r="C170" s="1" t="str">
        <f>IFERROR(__xludf.DUMMYFUNCTION("""COMPUTED_VALUE"""),"control")</f>
        <v>control</v>
      </c>
      <c r="D170" s="1" t="str">
        <f>IFERROR(__xludf.DUMMYFUNCTION("""COMPUTED_VALUE"""),"old_page")</f>
        <v>old_page</v>
      </c>
      <c r="E170" s="1">
        <f>IFERROR(__xludf.DUMMYFUNCTION("""COMPUTED_VALUE"""),0.0)</f>
        <v>0</v>
      </c>
    </row>
    <row r="171">
      <c r="A171" s="1">
        <f>IFERROR(__xludf.DUMMYFUNCTION("""COMPUTED_VALUE"""),714092.0)</f>
        <v>714092</v>
      </c>
      <c r="B171" s="2">
        <f>IFERROR(__xludf.DUMMYFUNCTION("""COMPUTED_VALUE"""),42739.93305666285)</f>
        <v>42739.93306</v>
      </c>
      <c r="C171" s="1" t="str">
        <f>IFERROR(__xludf.DUMMYFUNCTION("""COMPUTED_VALUE"""),"treatment")</f>
        <v>treatment</v>
      </c>
      <c r="D171" s="1" t="str">
        <f>IFERROR(__xludf.DUMMYFUNCTION("""COMPUTED_VALUE"""),"new_page")</f>
        <v>new_page</v>
      </c>
      <c r="E171" s="1">
        <f>IFERROR(__xludf.DUMMYFUNCTION("""COMPUTED_VALUE"""),0.0)</f>
        <v>0</v>
      </c>
    </row>
    <row r="172">
      <c r="A172" s="1">
        <f>IFERROR(__xludf.DUMMYFUNCTION("""COMPUTED_VALUE"""),738189.0)</f>
        <v>738189</v>
      </c>
      <c r="B172" s="2">
        <f>IFERROR(__xludf.DUMMYFUNCTION("""COMPUTED_VALUE"""),42742.66183838298)</f>
        <v>42742.66184</v>
      </c>
      <c r="C172" s="1" t="str">
        <f>IFERROR(__xludf.DUMMYFUNCTION("""COMPUTED_VALUE"""),"treatment")</f>
        <v>treatment</v>
      </c>
      <c r="D172" s="1" t="str">
        <f>IFERROR(__xludf.DUMMYFUNCTION("""COMPUTED_VALUE"""),"new_page")</f>
        <v>new_page</v>
      </c>
      <c r="E172" s="1">
        <f>IFERROR(__xludf.DUMMYFUNCTION("""COMPUTED_VALUE"""),0.0)</f>
        <v>0</v>
      </c>
    </row>
    <row r="173">
      <c r="A173" s="1">
        <f>IFERROR(__xludf.DUMMYFUNCTION("""COMPUTED_VALUE"""),792608.0)</f>
        <v>792608</v>
      </c>
      <c r="B173" s="2">
        <f>IFERROR(__xludf.DUMMYFUNCTION("""COMPUTED_VALUE"""),42746.063347471274)</f>
        <v>42746.06335</v>
      </c>
      <c r="C173" s="1" t="str">
        <f>IFERROR(__xludf.DUMMYFUNCTION("""COMPUTED_VALUE"""),"control")</f>
        <v>control</v>
      </c>
      <c r="D173" s="1" t="str">
        <f>IFERROR(__xludf.DUMMYFUNCTION("""COMPUTED_VALUE"""),"old_page")</f>
        <v>old_page</v>
      </c>
      <c r="E173" s="1">
        <f>IFERROR(__xludf.DUMMYFUNCTION("""COMPUTED_VALUE"""),0.0)</f>
        <v>0</v>
      </c>
    </row>
    <row r="174">
      <c r="A174" s="1">
        <f>IFERROR(__xludf.DUMMYFUNCTION("""COMPUTED_VALUE"""),819791.0)</f>
        <v>819791</v>
      </c>
      <c r="B174" s="2">
        <f>IFERROR(__xludf.DUMMYFUNCTION("""COMPUTED_VALUE"""),42756.20669685906)</f>
        <v>42756.2067</v>
      </c>
      <c r="C174" s="1" t="str">
        <f>IFERROR(__xludf.DUMMYFUNCTION("""COMPUTED_VALUE"""),"treatment")</f>
        <v>treatment</v>
      </c>
      <c r="D174" s="1" t="str">
        <f>IFERROR(__xludf.DUMMYFUNCTION("""COMPUTED_VALUE"""),"new_page")</f>
        <v>new_page</v>
      </c>
      <c r="E174" s="1">
        <f>IFERROR(__xludf.DUMMYFUNCTION("""COMPUTED_VALUE"""),0.0)</f>
        <v>0</v>
      </c>
    </row>
    <row r="175">
      <c r="A175" s="1">
        <f>IFERROR(__xludf.DUMMYFUNCTION("""COMPUTED_VALUE"""),836391.0)</f>
        <v>836391</v>
      </c>
      <c r="B175" s="2">
        <f>IFERROR(__xludf.DUMMYFUNCTION("""COMPUTED_VALUE"""),42749.92109454095)</f>
        <v>42749.92109</v>
      </c>
      <c r="C175" s="1" t="str">
        <f>IFERROR(__xludf.DUMMYFUNCTION("""COMPUTED_VALUE"""),"treatment")</f>
        <v>treatment</v>
      </c>
      <c r="D175" s="1" t="str">
        <f>IFERROR(__xludf.DUMMYFUNCTION("""COMPUTED_VALUE"""),"new_page")</f>
        <v>new_page</v>
      </c>
      <c r="E175" s="1">
        <f>IFERROR(__xludf.DUMMYFUNCTION("""COMPUTED_VALUE"""),0.0)</f>
        <v>0</v>
      </c>
    </row>
    <row r="176">
      <c r="A176" s="1">
        <f>IFERROR(__xludf.DUMMYFUNCTION("""COMPUTED_VALUE"""),923958.0)</f>
        <v>923958</v>
      </c>
      <c r="B176" s="2">
        <f>IFERROR(__xludf.DUMMYFUNCTION("""COMPUTED_VALUE"""),42737.93576843021)</f>
        <v>42737.93577</v>
      </c>
      <c r="C176" s="1" t="str">
        <f>IFERROR(__xludf.DUMMYFUNCTION("""COMPUTED_VALUE"""),"control")</f>
        <v>control</v>
      </c>
      <c r="D176" s="1" t="str">
        <f>IFERROR(__xludf.DUMMYFUNCTION("""COMPUTED_VALUE"""),"old_page")</f>
        <v>old_page</v>
      </c>
      <c r="E176" s="1">
        <f>IFERROR(__xludf.DUMMYFUNCTION("""COMPUTED_VALUE"""),0.0)</f>
        <v>0</v>
      </c>
    </row>
    <row r="177">
      <c r="A177" s="1">
        <f>IFERROR(__xludf.DUMMYFUNCTION("""COMPUTED_VALUE"""),701936.0)</f>
        <v>701936</v>
      </c>
      <c r="B177" s="2">
        <f>IFERROR(__xludf.DUMMYFUNCTION("""COMPUTED_VALUE"""),42744.255761090855)</f>
        <v>42744.25576</v>
      </c>
      <c r="C177" s="1" t="str">
        <f>IFERROR(__xludf.DUMMYFUNCTION("""COMPUTED_VALUE"""),"treatment")</f>
        <v>treatment</v>
      </c>
      <c r="D177" s="1" t="str">
        <f>IFERROR(__xludf.DUMMYFUNCTION("""COMPUTED_VALUE"""),"new_page")</f>
        <v>new_page</v>
      </c>
      <c r="E177" s="1">
        <f>IFERROR(__xludf.DUMMYFUNCTION("""COMPUTED_VALUE"""),0.0)</f>
        <v>0</v>
      </c>
    </row>
    <row r="178">
      <c r="A178" s="1">
        <f>IFERROR(__xludf.DUMMYFUNCTION("""COMPUTED_VALUE"""),630374.0)</f>
        <v>630374</v>
      </c>
      <c r="B178" s="2">
        <f>IFERROR(__xludf.DUMMYFUNCTION("""COMPUTED_VALUE"""),42742.16377195883)</f>
        <v>42742.16377</v>
      </c>
      <c r="C178" s="1" t="str">
        <f>IFERROR(__xludf.DUMMYFUNCTION("""COMPUTED_VALUE"""),"treatment")</f>
        <v>treatment</v>
      </c>
      <c r="D178" s="1" t="str">
        <f>IFERROR(__xludf.DUMMYFUNCTION("""COMPUTED_VALUE"""),"new_page")</f>
        <v>new_page</v>
      </c>
      <c r="E178" s="1">
        <f>IFERROR(__xludf.DUMMYFUNCTION("""COMPUTED_VALUE"""),0.0)</f>
        <v>0</v>
      </c>
    </row>
    <row r="179">
      <c r="A179" s="1">
        <f>IFERROR(__xludf.DUMMYFUNCTION("""COMPUTED_VALUE"""),913777.0)</f>
        <v>913777</v>
      </c>
      <c r="B179" s="2">
        <f>IFERROR(__xludf.DUMMYFUNCTION("""COMPUTED_VALUE"""),42746.46305551676)</f>
        <v>42746.46306</v>
      </c>
      <c r="C179" s="1" t="str">
        <f>IFERROR(__xludf.DUMMYFUNCTION("""COMPUTED_VALUE"""),"treatment")</f>
        <v>treatment</v>
      </c>
      <c r="D179" s="1" t="str">
        <f>IFERROR(__xludf.DUMMYFUNCTION("""COMPUTED_VALUE"""),"new_page")</f>
        <v>new_page</v>
      </c>
      <c r="E179" s="1">
        <f>IFERROR(__xludf.DUMMYFUNCTION("""COMPUTED_VALUE"""),0.0)</f>
        <v>0</v>
      </c>
    </row>
    <row r="180">
      <c r="A180" s="1">
        <f>IFERROR(__xludf.DUMMYFUNCTION("""COMPUTED_VALUE"""),862691.0)</f>
        <v>862691</v>
      </c>
      <c r="B180" s="2">
        <f>IFERROR(__xludf.DUMMYFUNCTION("""COMPUTED_VALUE"""),42742.57633502568)</f>
        <v>42742.57634</v>
      </c>
      <c r="C180" s="1" t="str">
        <f>IFERROR(__xludf.DUMMYFUNCTION("""COMPUTED_VALUE"""),"control")</f>
        <v>control</v>
      </c>
      <c r="D180" s="1" t="str">
        <f>IFERROR(__xludf.DUMMYFUNCTION("""COMPUTED_VALUE"""),"old_page")</f>
        <v>old_page</v>
      </c>
      <c r="E180" s="1">
        <f>IFERROR(__xludf.DUMMYFUNCTION("""COMPUTED_VALUE"""),1.0)</f>
        <v>1</v>
      </c>
    </row>
    <row r="181">
      <c r="A181" s="1">
        <f>IFERROR(__xludf.DUMMYFUNCTION("""COMPUTED_VALUE"""),939335.0)</f>
        <v>939335</v>
      </c>
      <c r="B181" s="2">
        <f>IFERROR(__xludf.DUMMYFUNCTION("""COMPUTED_VALUE"""),42758.09037270297)</f>
        <v>42758.09037</v>
      </c>
      <c r="C181" s="1" t="str">
        <f>IFERROR(__xludf.DUMMYFUNCTION("""COMPUTED_VALUE"""),"treatment")</f>
        <v>treatment</v>
      </c>
      <c r="D181" s="1" t="str">
        <f>IFERROR(__xludf.DUMMYFUNCTION("""COMPUTED_VALUE"""),"new_page")</f>
        <v>new_page</v>
      </c>
      <c r="E181" s="1">
        <f>IFERROR(__xludf.DUMMYFUNCTION("""COMPUTED_VALUE"""),0.0)</f>
        <v>0</v>
      </c>
    </row>
    <row r="182">
      <c r="A182" s="1">
        <f>IFERROR(__xludf.DUMMYFUNCTION("""COMPUTED_VALUE"""),697626.0)</f>
        <v>697626</v>
      </c>
      <c r="B182" s="2">
        <f>IFERROR(__xludf.DUMMYFUNCTION("""COMPUTED_VALUE"""),42748.81799035081)</f>
        <v>42748.81799</v>
      </c>
      <c r="C182" s="1" t="str">
        <f>IFERROR(__xludf.DUMMYFUNCTION("""COMPUTED_VALUE"""),"treatment")</f>
        <v>treatment</v>
      </c>
      <c r="D182" s="1" t="str">
        <f>IFERROR(__xludf.DUMMYFUNCTION("""COMPUTED_VALUE"""),"new_page")</f>
        <v>new_page</v>
      </c>
      <c r="E182" s="1">
        <f>IFERROR(__xludf.DUMMYFUNCTION("""COMPUTED_VALUE"""),0.0)</f>
        <v>0</v>
      </c>
    </row>
    <row r="183">
      <c r="A183" s="1">
        <f>IFERROR(__xludf.DUMMYFUNCTION("""COMPUTED_VALUE"""),911150.0)</f>
        <v>911150</v>
      </c>
      <c r="B183" s="2">
        <f>IFERROR(__xludf.DUMMYFUNCTION("""COMPUTED_VALUE"""),42743.17435184436)</f>
        <v>42743.17435</v>
      </c>
      <c r="C183" s="1" t="str">
        <f>IFERROR(__xludf.DUMMYFUNCTION("""COMPUTED_VALUE"""),"treatment")</f>
        <v>treatment</v>
      </c>
      <c r="D183" s="1" t="str">
        <f>IFERROR(__xludf.DUMMYFUNCTION("""COMPUTED_VALUE"""),"new_page")</f>
        <v>new_page</v>
      </c>
      <c r="E183" s="1">
        <f>IFERROR(__xludf.DUMMYFUNCTION("""COMPUTED_VALUE"""),0.0)</f>
        <v>0</v>
      </c>
    </row>
    <row r="184">
      <c r="A184" s="1">
        <f>IFERROR(__xludf.DUMMYFUNCTION("""COMPUTED_VALUE"""),900137.0)</f>
        <v>900137</v>
      </c>
      <c r="B184" s="2">
        <f>IFERROR(__xludf.DUMMYFUNCTION("""COMPUTED_VALUE"""),42743.52383887022)</f>
        <v>42743.52384</v>
      </c>
      <c r="C184" s="1" t="str">
        <f>IFERROR(__xludf.DUMMYFUNCTION("""COMPUTED_VALUE"""),"treatment")</f>
        <v>treatment</v>
      </c>
      <c r="D184" s="1" t="str">
        <f>IFERROR(__xludf.DUMMYFUNCTION("""COMPUTED_VALUE"""),"new_page")</f>
        <v>new_page</v>
      </c>
      <c r="E184" s="1">
        <f>IFERROR(__xludf.DUMMYFUNCTION("""COMPUTED_VALUE"""),0.0)</f>
        <v>0</v>
      </c>
    </row>
    <row r="185">
      <c r="A185" s="1">
        <f>IFERROR(__xludf.DUMMYFUNCTION("""COMPUTED_VALUE"""),897941.0)</f>
        <v>897941</v>
      </c>
      <c r="B185" s="2">
        <f>IFERROR(__xludf.DUMMYFUNCTION("""COMPUTED_VALUE"""),42740.056971540056)</f>
        <v>42740.05697</v>
      </c>
      <c r="C185" s="1" t="str">
        <f>IFERROR(__xludf.DUMMYFUNCTION("""COMPUTED_VALUE"""),"control")</f>
        <v>control</v>
      </c>
      <c r="D185" s="1" t="str">
        <f>IFERROR(__xludf.DUMMYFUNCTION("""COMPUTED_VALUE"""),"old_page")</f>
        <v>old_page</v>
      </c>
      <c r="E185" s="1">
        <f>IFERROR(__xludf.DUMMYFUNCTION("""COMPUTED_VALUE"""),1.0)</f>
        <v>1</v>
      </c>
    </row>
    <row r="186">
      <c r="A186" s="1">
        <f>IFERROR(__xludf.DUMMYFUNCTION("""COMPUTED_VALUE"""),840818.0)</f>
        <v>840818</v>
      </c>
      <c r="B186" s="2">
        <f>IFERROR(__xludf.DUMMYFUNCTION("""COMPUTED_VALUE"""),42748.72925642838)</f>
        <v>42748.72926</v>
      </c>
      <c r="C186" s="1" t="str">
        <f>IFERROR(__xludf.DUMMYFUNCTION("""COMPUTED_VALUE"""),"control")</f>
        <v>control</v>
      </c>
      <c r="D186" s="1" t="str">
        <f>IFERROR(__xludf.DUMMYFUNCTION("""COMPUTED_VALUE"""),"old_page")</f>
        <v>old_page</v>
      </c>
      <c r="E186" s="1">
        <f>IFERROR(__xludf.DUMMYFUNCTION("""COMPUTED_VALUE"""),0.0)</f>
        <v>0</v>
      </c>
    </row>
    <row r="187">
      <c r="A187" s="1">
        <f>IFERROR(__xludf.DUMMYFUNCTION("""COMPUTED_VALUE"""),908396.0)</f>
        <v>908396</v>
      </c>
      <c r="B187" s="2">
        <f>IFERROR(__xludf.DUMMYFUNCTION("""COMPUTED_VALUE"""),42750.56823081137)</f>
        <v>42750.56823</v>
      </c>
      <c r="C187" s="1" t="str">
        <f>IFERROR(__xludf.DUMMYFUNCTION("""COMPUTED_VALUE"""),"treatment")</f>
        <v>treatment</v>
      </c>
      <c r="D187" s="1" t="str">
        <f>IFERROR(__xludf.DUMMYFUNCTION("""COMPUTED_VALUE"""),"new_page")</f>
        <v>new_page</v>
      </c>
      <c r="E187" s="1">
        <f>IFERROR(__xludf.DUMMYFUNCTION("""COMPUTED_VALUE"""),0.0)</f>
        <v>0</v>
      </c>
    </row>
    <row r="188">
      <c r="A188" s="1">
        <f>IFERROR(__xludf.DUMMYFUNCTION("""COMPUTED_VALUE"""),716162.0)</f>
        <v>716162</v>
      </c>
      <c r="B188" s="2">
        <f>IFERROR(__xludf.DUMMYFUNCTION("""COMPUTED_VALUE"""),42755.558299721866)</f>
        <v>42755.5583</v>
      </c>
      <c r="C188" s="1" t="str">
        <f>IFERROR(__xludf.DUMMYFUNCTION("""COMPUTED_VALUE"""),"treatment")</f>
        <v>treatment</v>
      </c>
      <c r="D188" s="1" t="str">
        <f>IFERROR(__xludf.DUMMYFUNCTION("""COMPUTED_VALUE"""),"new_page")</f>
        <v>new_page</v>
      </c>
      <c r="E188" s="1">
        <f>IFERROR(__xludf.DUMMYFUNCTION("""COMPUTED_VALUE"""),1.0)</f>
        <v>1</v>
      </c>
    </row>
    <row r="189">
      <c r="A189" s="1">
        <f>IFERROR(__xludf.DUMMYFUNCTION("""COMPUTED_VALUE"""),633828.0)</f>
        <v>633828</v>
      </c>
      <c r="B189" s="2">
        <f>IFERROR(__xludf.DUMMYFUNCTION("""COMPUTED_VALUE"""),42748.54296085192)</f>
        <v>42748.54296</v>
      </c>
      <c r="C189" s="1" t="str">
        <f>IFERROR(__xludf.DUMMYFUNCTION("""COMPUTED_VALUE"""),"control")</f>
        <v>control</v>
      </c>
      <c r="D189" s="1" t="str">
        <f>IFERROR(__xludf.DUMMYFUNCTION("""COMPUTED_VALUE"""),"old_page")</f>
        <v>old_page</v>
      </c>
      <c r="E189" s="1">
        <f>IFERROR(__xludf.DUMMYFUNCTION("""COMPUTED_VALUE"""),0.0)</f>
        <v>0</v>
      </c>
    </row>
    <row r="190">
      <c r="A190" s="1">
        <f>IFERROR(__xludf.DUMMYFUNCTION("""COMPUTED_VALUE"""),839629.0)</f>
        <v>839629</v>
      </c>
      <c r="B190" s="2">
        <f>IFERROR(__xludf.DUMMYFUNCTION("""COMPUTED_VALUE"""),42750.06361028254)</f>
        <v>42750.06361</v>
      </c>
      <c r="C190" s="1" t="str">
        <f>IFERROR(__xludf.DUMMYFUNCTION("""COMPUTED_VALUE"""),"treatment")</f>
        <v>treatment</v>
      </c>
      <c r="D190" s="1" t="str">
        <f>IFERROR(__xludf.DUMMYFUNCTION("""COMPUTED_VALUE"""),"new_page")</f>
        <v>new_page</v>
      </c>
      <c r="E190" s="1">
        <f>IFERROR(__xludf.DUMMYFUNCTION("""COMPUTED_VALUE"""),0.0)</f>
        <v>0</v>
      </c>
    </row>
    <row r="191">
      <c r="A191" s="1">
        <f>IFERROR(__xludf.DUMMYFUNCTION("""COMPUTED_VALUE"""),648580.0)</f>
        <v>648580</v>
      </c>
      <c r="B191" s="2">
        <f>IFERROR(__xludf.DUMMYFUNCTION("""COMPUTED_VALUE"""),42741.66676790686)</f>
        <v>42741.66677</v>
      </c>
      <c r="C191" s="1" t="str">
        <f>IFERROR(__xludf.DUMMYFUNCTION("""COMPUTED_VALUE"""),"control")</f>
        <v>control</v>
      </c>
      <c r="D191" s="1" t="str">
        <f>IFERROR(__xludf.DUMMYFUNCTION("""COMPUTED_VALUE"""),"old_page")</f>
        <v>old_page</v>
      </c>
      <c r="E191" s="1">
        <f>IFERROR(__xludf.DUMMYFUNCTION("""COMPUTED_VALUE"""),0.0)</f>
        <v>0</v>
      </c>
    </row>
    <row r="192">
      <c r="A192" s="1">
        <f>IFERROR(__xludf.DUMMYFUNCTION("""COMPUTED_VALUE"""),859483.0)</f>
        <v>859483</v>
      </c>
      <c r="B192" s="2">
        <f>IFERROR(__xludf.DUMMYFUNCTION("""COMPUTED_VALUE"""),42741.45219410706)</f>
        <v>42741.45219</v>
      </c>
      <c r="C192" s="1" t="str">
        <f>IFERROR(__xludf.DUMMYFUNCTION("""COMPUTED_VALUE"""),"treatment")</f>
        <v>treatment</v>
      </c>
      <c r="D192" s="1" t="str">
        <f>IFERROR(__xludf.DUMMYFUNCTION("""COMPUTED_VALUE"""),"new_page")</f>
        <v>new_page</v>
      </c>
      <c r="E192" s="1">
        <f>IFERROR(__xludf.DUMMYFUNCTION("""COMPUTED_VALUE"""),1.0)</f>
        <v>1</v>
      </c>
    </row>
    <row r="193">
      <c r="A193" s="1">
        <f>IFERROR(__xludf.DUMMYFUNCTION("""COMPUTED_VALUE"""),636597.0)</f>
        <v>636597</v>
      </c>
      <c r="B193" s="2">
        <f>IFERROR(__xludf.DUMMYFUNCTION("""COMPUTED_VALUE"""),42748.554374983934)</f>
        <v>42748.55437</v>
      </c>
      <c r="C193" s="1" t="str">
        <f>IFERROR(__xludf.DUMMYFUNCTION("""COMPUTED_VALUE"""),"treatment")</f>
        <v>treatment</v>
      </c>
      <c r="D193" s="1" t="str">
        <f>IFERROR(__xludf.DUMMYFUNCTION("""COMPUTED_VALUE"""),"new_page")</f>
        <v>new_page</v>
      </c>
      <c r="E193" s="1">
        <f>IFERROR(__xludf.DUMMYFUNCTION("""COMPUTED_VALUE"""),0.0)</f>
        <v>0</v>
      </c>
    </row>
    <row r="194">
      <c r="A194" s="1">
        <f>IFERROR(__xludf.DUMMYFUNCTION("""COMPUTED_VALUE"""),656468.0)</f>
        <v>656468</v>
      </c>
      <c r="B194" s="2">
        <f>IFERROR(__xludf.DUMMYFUNCTION("""COMPUTED_VALUE"""),42753.301039410326)</f>
        <v>42753.30104</v>
      </c>
      <c r="C194" s="1" t="str">
        <f>IFERROR(__xludf.DUMMYFUNCTION("""COMPUTED_VALUE"""),"treatment")</f>
        <v>treatment</v>
      </c>
      <c r="D194" s="1" t="str">
        <f>IFERROR(__xludf.DUMMYFUNCTION("""COMPUTED_VALUE"""),"new_page")</f>
        <v>new_page</v>
      </c>
      <c r="E194" s="1">
        <f>IFERROR(__xludf.DUMMYFUNCTION("""COMPUTED_VALUE"""),1.0)</f>
        <v>1</v>
      </c>
    </row>
    <row r="195">
      <c r="A195" s="1">
        <f>IFERROR(__xludf.DUMMYFUNCTION("""COMPUTED_VALUE"""),724109.0)</f>
        <v>724109</v>
      </c>
      <c r="B195" s="2">
        <f>IFERROR(__xludf.DUMMYFUNCTION("""COMPUTED_VALUE"""),42754.65325459913)</f>
        <v>42754.65325</v>
      </c>
      <c r="C195" s="1" t="str">
        <f>IFERROR(__xludf.DUMMYFUNCTION("""COMPUTED_VALUE"""),"control")</f>
        <v>control</v>
      </c>
      <c r="D195" s="1" t="str">
        <f>IFERROR(__xludf.DUMMYFUNCTION("""COMPUTED_VALUE"""),"old_page")</f>
        <v>old_page</v>
      </c>
      <c r="E195" s="1">
        <f>IFERROR(__xludf.DUMMYFUNCTION("""COMPUTED_VALUE"""),1.0)</f>
        <v>1</v>
      </c>
    </row>
    <row r="196">
      <c r="A196" s="1">
        <f>IFERROR(__xludf.DUMMYFUNCTION("""COMPUTED_VALUE"""),799741.0)</f>
        <v>799741</v>
      </c>
      <c r="B196" s="2">
        <f>IFERROR(__xludf.DUMMYFUNCTION("""COMPUTED_VALUE"""),42750.739503415025)</f>
        <v>42750.7395</v>
      </c>
      <c r="C196" s="1" t="str">
        <f>IFERROR(__xludf.DUMMYFUNCTION("""COMPUTED_VALUE"""),"control")</f>
        <v>control</v>
      </c>
      <c r="D196" s="1" t="str">
        <f>IFERROR(__xludf.DUMMYFUNCTION("""COMPUTED_VALUE"""),"old_page")</f>
        <v>old_page</v>
      </c>
      <c r="E196" s="1">
        <f>IFERROR(__xludf.DUMMYFUNCTION("""COMPUTED_VALUE"""),0.0)</f>
        <v>0</v>
      </c>
    </row>
    <row r="197">
      <c r="A197" s="1">
        <f>IFERROR(__xludf.DUMMYFUNCTION("""COMPUTED_VALUE"""),755586.0)</f>
        <v>755586</v>
      </c>
      <c r="B197" s="2">
        <f>IFERROR(__xludf.DUMMYFUNCTION("""COMPUTED_VALUE"""),42745.76055433192)</f>
        <v>42745.76055</v>
      </c>
      <c r="C197" s="1" t="str">
        <f>IFERROR(__xludf.DUMMYFUNCTION("""COMPUTED_VALUE"""),"control")</f>
        <v>control</v>
      </c>
      <c r="D197" s="1" t="str">
        <f>IFERROR(__xludf.DUMMYFUNCTION("""COMPUTED_VALUE"""),"old_page")</f>
        <v>old_page</v>
      </c>
      <c r="E197" s="1">
        <f>IFERROR(__xludf.DUMMYFUNCTION("""COMPUTED_VALUE"""),0.0)</f>
        <v>0</v>
      </c>
    </row>
    <row r="198">
      <c r="A198" s="1">
        <f>IFERROR(__xludf.DUMMYFUNCTION("""COMPUTED_VALUE"""),824645.0)</f>
        <v>824645</v>
      </c>
      <c r="B198" s="2">
        <f>IFERROR(__xludf.DUMMYFUNCTION("""COMPUTED_VALUE"""),42746.20998082492)</f>
        <v>42746.20998</v>
      </c>
      <c r="C198" s="1" t="str">
        <f>IFERROR(__xludf.DUMMYFUNCTION("""COMPUTED_VALUE"""),"treatment")</f>
        <v>treatment</v>
      </c>
      <c r="D198" s="1" t="str">
        <f>IFERROR(__xludf.DUMMYFUNCTION("""COMPUTED_VALUE"""),"new_page")</f>
        <v>new_page</v>
      </c>
      <c r="E198" s="1">
        <f>IFERROR(__xludf.DUMMYFUNCTION("""COMPUTED_VALUE"""),0.0)</f>
        <v>0</v>
      </c>
    </row>
    <row r="199">
      <c r="A199" s="1">
        <f>IFERROR(__xludf.DUMMYFUNCTION("""COMPUTED_VALUE"""),827170.0)</f>
        <v>827170</v>
      </c>
      <c r="B199" s="2">
        <f>IFERROR(__xludf.DUMMYFUNCTION("""COMPUTED_VALUE"""),42742.42524106956)</f>
        <v>42742.42524</v>
      </c>
      <c r="C199" s="1" t="str">
        <f>IFERROR(__xludf.DUMMYFUNCTION("""COMPUTED_VALUE"""),"treatment")</f>
        <v>treatment</v>
      </c>
      <c r="D199" s="1" t="str">
        <f>IFERROR(__xludf.DUMMYFUNCTION("""COMPUTED_VALUE"""),"new_page")</f>
        <v>new_page</v>
      </c>
      <c r="E199" s="1">
        <f>IFERROR(__xludf.DUMMYFUNCTION("""COMPUTED_VALUE"""),0.0)</f>
        <v>0</v>
      </c>
    </row>
    <row r="200">
      <c r="A200" s="1">
        <f>IFERROR(__xludf.DUMMYFUNCTION("""COMPUTED_VALUE"""),841403.0)</f>
        <v>841403</v>
      </c>
      <c r="B200" s="2">
        <f>IFERROR(__xludf.DUMMYFUNCTION("""COMPUTED_VALUE"""),42757.74551597679)</f>
        <v>42757.74552</v>
      </c>
      <c r="C200" s="1" t="str">
        <f>IFERROR(__xludf.DUMMYFUNCTION("""COMPUTED_VALUE"""),"treatment")</f>
        <v>treatment</v>
      </c>
      <c r="D200" s="1" t="str">
        <f>IFERROR(__xludf.DUMMYFUNCTION("""COMPUTED_VALUE"""),"new_page")</f>
        <v>new_page</v>
      </c>
      <c r="E200" s="1">
        <f>IFERROR(__xludf.DUMMYFUNCTION("""COMPUTED_VALUE"""),0.0)</f>
        <v>0</v>
      </c>
    </row>
    <row r="201">
      <c r="A201" s="1">
        <f>IFERROR(__xludf.DUMMYFUNCTION("""COMPUTED_VALUE"""),866989.0)</f>
        <v>866989</v>
      </c>
      <c r="B201" s="2">
        <f>IFERROR(__xludf.DUMMYFUNCTION("""COMPUTED_VALUE"""),42744.22660353575)</f>
        <v>42744.2266</v>
      </c>
      <c r="C201" s="1" t="str">
        <f>IFERROR(__xludf.DUMMYFUNCTION("""COMPUTED_VALUE"""),"treatment")</f>
        <v>treatment</v>
      </c>
      <c r="D201" s="1" t="str">
        <f>IFERROR(__xludf.DUMMYFUNCTION("""COMPUTED_VALUE"""),"new_page")</f>
        <v>new_page</v>
      </c>
      <c r="E201" s="1">
        <f>IFERROR(__xludf.DUMMYFUNCTION("""COMPUTED_VALUE"""),0.0)</f>
        <v>0</v>
      </c>
    </row>
    <row r="202">
      <c r="A202" s="1">
        <f>IFERROR(__xludf.DUMMYFUNCTION("""COMPUTED_VALUE"""),718691.0)</f>
        <v>718691</v>
      </c>
      <c r="B202" s="2">
        <f>IFERROR(__xludf.DUMMYFUNCTION("""COMPUTED_VALUE"""),42757.598925360275)</f>
        <v>42757.59893</v>
      </c>
      <c r="C202" s="1" t="str">
        <f>IFERROR(__xludf.DUMMYFUNCTION("""COMPUTED_VALUE"""),"treatment")</f>
        <v>treatment</v>
      </c>
      <c r="D202" s="1" t="str">
        <f>IFERROR(__xludf.DUMMYFUNCTION("""COMPUTED_VALUE"""),"new_page")</f>
        <v>new_page</v>
      </c>
      <c r="E202" s="1">
        <f>IFERROR(__xludf.DUMMYFUNCTION("""COMPUTED_VALUE"""),0.0)</f>
        <v>0</v>
      </c>
    </row>
    <row r="203">
      <c r="A203" s="1">
        <f>IFERROR(__xludf.DUMMYFUNCTION("""COMPUTED_VALUE"""),790624.0)</f>
        <v>790624</v>
      </c>
      <c r="B203" s="2">
        <f>IFERROR(__xludf.DUMMYFUNCTION("""COMPUTED_VALUE"""),42744.7713741256)</f>
        <v>42744.77137</v>
      </c>
      <c r="C203" s="1" t="str">
        <f>IFERROR(__xludf.DUMMYFUNCTION("""COMPUTED_VALUE"""),"treatment")</f>
        <v>treatment</v>
      </c>
      <c r="D203" s="1" t="str">
        <f>IFERROR(__xludf.DUMMYFUNCTION("""COMPUTED_VALUE"""),"new_page")</f>
        <v>new_page</v>
      </c>
      <c r="E203" s="1">
        <f>IFERROR(__xludf.DUMMYFUNCTION("""COMPUTED_VALUE"""),0.0)</f>
        <v>0</v>
      </c>
    </row>
    <row r="204">
      <c r="A204" s="1">
        <f>IFERROR(__xludf.DUMMYFUNCTION("""COMPUTED_VALUE"""),810175.0)</f>
        <v>810175</v>
      </c>
      <c r="B204" s="2">
        <f>IFERROR(__xludf.DUMMYFUNCTION("""COMPUTED_VALUE"""),42758.5660001941)</f>
        <v>42758.566</v>
      </c>
      <c r="C204" s="1" t="str">
        <f>IFERROR(__xludf.DUMMYFUNCTION("""COMPUTED_VALUE"""),"control")</f>
        <v>control</v>
      </c>
      <c r="D204" s="1" t="str">
        <f>IFERROR(__xludf.DUMMYFUNCTION("""COMPUTED_VALUE"""),"old_page")</f>
        <v>old_page</v>
      </c>
      <c r="E204" s="1">
        <f>IFERROR(__xludf.DUMMYFUNCTION("""COMPUTED_VALUE"""),0.0)</f>
        <v>0</v>
      </c>
    </row>
    <row r="205">
      <c r="A205" s="1">
        <f>IFERROR(__xludf.DUMMYFUNCTION("""COMPUTED_VALUE"""),720371.0)</f>
        <v>720371</v>
      </c>
      <c r="B205" s="2">
        <f>IFERROR(__xludf.DUMMYFUNCTION("""COMPUTED_VALUE"""),42746.99638392258)</f>
        <v>42746.99638</v>
      </c>
      <c r="C205" s="1" t="str">
        <f>IFERROR(__xludf.DUMMYFUNCTION("""COMPUTED_VALUE"""),"treatment")</f>
        <v>treatment</v>
      </c>
      <c r="D205" s="1" t="str">
        <f>IFERROR(__xludf.DUMMYFUNCTION("""COMPUTED_VALUE"""),"new_page")</f>
        <v>new_page</v>
      </c>
      <c r="E205" s="1">
        <f>IFERROR(__xludf.DUMMYFUNCTION("""COMPUTED_VALUE"""),0.0)</f>
        <v>0</v>
      </c>
    </row>
    <row r="206">
      <c r="A206" s="1">
        <f>IFERROR(__xludf.DUMMYFUNCTION("""COMPUTED_VALUE"""),786598.0)</f>
        <v>786598</v>
      </c>
      <c r="B206" s="2">
        <f>IFERROR(__xludf.DUMMYFUNCTION("""COMPUTED_VALUE"""),42752.32021077777)</f>
        <v>42752.32021</v>
      </c>
      <c r="C206" s="1" t="str">
        <f>IFERROR(__xludf.DUMMYFUNCTION("""COMPUTED_VALUE"""),"control")</f>
        <v>control</v>
      </c>
      <c r="D206" s="1" t="str">
        <f>IFERROR(__xludf.DUMMYFUNCTION("""COMPUTED_VALUE"""),"old_page")</f>
        <v>old_page</v>
      </c>
      <c r="E206" s="1">
        <f>IFERROR(__xludf.DUMMYFUNCTION("""COMPUTED_VALUE"""),0.0)</f>
        <v>0</v>
      </c>
    </row>
    <row r="207">
      <c r="A207" s="1">
        <f>IFERROR(__xludf.DUMMYFUNCTION("""COMPUTED_VALUE"""),853881.0)</f>
        <v>853881</v>
      </c>
      <c r="B207" s="2">
        <f>IFERROR(__xludf.DUMMYFUNCTION("""COMPUTED_VALUE"""),42739.9951591458)</f>
        <v>42739.99516</v>
      </c>
      <c r="C207" s="1" t="str">
        <f>IFERROR(__xludf.DUMMYFUNCTION("""COMPUTED_VALUE"""),"control")</f>
        <v>control</v>
      </c>
      <c r="D207" s="1" t="str">
        <f>IFERROR(__xludf.DUMMYFUNCTION("""COMPUTED_VALUE"""),"old_page")</f>
        <v>old_page</v>
      </c>
      <c r="E207" s="1">
        <f>IFERROR(__xludf.DUMMYFUNCTION("""COMPUTED_VALUE"""),0.0)</f>
        <v>0</v>
      </c>
    </row>
    <row r="208">
      <c r="A208" s="1">
        <f>IFERROR(__xludf.DUMMYFUNCTION("""COMPUTED_VALUE"""),807785.0)</f>
        <v>807785</v>
      </c>
      <c r="B208" s="2">
        <f>IFERROR(__xludf.DUMMYFUNCTION("""COMPUTED_VALUE"""),42752.24597631217)</f>
        <v>42752.24598</v>
      </c>
      <c r="C208" s="1" t="str">
        <f>IFERROR(__xludf.DUMMYFUNCTION("""COMPUTED_VALUE"""),"control")</f>
        <v>control</v>
      </c>
      <c r="D208" s="1" t="str">
        <f>IFERROR(__xludf.DUMMYFUNCTION("""COMPUTED_VALUE"""),"old_page")</f>
        <v>old_page</v>
      </c>
      <c r="E208" s="1">
        <f>IFERROR(__xludf.DUMMYFUNCTION("""COMPUTED_VALUE"""),1.0)</f>
        <v>1</v>
      </c>
    </row>
    <row r="209">
      <c r="A209" s="1">
        <f>IFERROR(__xludf.DUMMYFUNCTION("""COMPUTED_VALUE"""),793245.0)</f>
        <v>793245</v>
      </c>
      <c r="B209" s="2">
        <f>IFERROR(__xludf.DUMMYFUNCTION("""COMPUTED_VALUE"""),42743.14906379382)</f>
        <v>42743.14906</v>
      </c>
      <c r="C209" s="1" t="str">
        <f>IFERROR(__xludf.DUMMYFUNCTION("""COMPUTED_VALUE"""),"control")</f>
        <v>control</v>
      </c>
      <c r="D209" s="1" t="str">
        <f>IFERROR(__xludf.DUMMYFUNCTION("""COMPUTED_VALUE"""),"old_page")</f>
        <v>old_page</v>
      </c>
      <c r="E209" s="1">
        <f>IFERROR(__xludf.DUMMYFUNCTION("""COMPUTED_VALUE"""),0.0)</f>
        <v>0</v>
      </c>
    </row>
    <row r="210">
      <c r="A210" s="1">
        <f>IFERROR(__xludf.DUMMYFUNCTION("""COMPUTED_VALUE"""),631705.0)</f>
        <v>631705</v>
      </c>
      <c r="B210" s="2">
        <f>IFERROR(__xludf.DUMMYFUNCTION("""COMPUTED_VALUE"""),42740.96693328763)</f>
        <v>42740.96693</v>
      </c>
      <c r="C210" s="1" t="str">
        <f>IFERROR(__xludf.DUMMYFUNCTION("""COMPUTED_VALUE"""),"control")</f>
        <v>control</v>
      </c>
      <c r="D210" s="1" t="str">
        <f>IFERROR(__xludf.DUMMYFUNCTION("""COMPUTED_VALUE"""),"old_page")</f>
        <v>old_page</v>
      </c>
      <c r="E210" s="1">
        <f>IFERROR(__xludf.DUMMYFUNCTION("""COMPUTED_VALUE"""),0.0)</f>
        <v>0</v>
      </c>
    </row>
    <row r="211">
      <c r="A211" s="1">
        <f>IFERROR(__xludf.DUMMYFUNCTION("""COMPUTED_VALUE"""),755245.0)</f>
        <v>755245</v>
      </c>
      <c r="B211" s="2">
        <f>IFERROR(__xludf.DUMMYFUNCTION("""COMPUTED_VALUE"""),42749.71590570024)</f>
        <v>42749.71591</v>
      </c>
      <c r="C211" s="1" t="str">
        <f>IFERROR(__xludf.DUMMYFUNCTION("""COMPUTED_VALUE"""),"treatment")</f>
        <v>treatment</v>
      </c>
      <c r="D211" s="1" t="str">
        <f>IFERROR(__xludf.DUMMYFUNCTION("""COMPUTED_VALUE"""),"new_page")</f>
        <v>new_page</v>
      </c>
      <c r="E211" s="1">
        <f>IFERROR(__xludf.DUMMYFUNCTION("""COMPUTED_VALUE"""),0.0)</f>
        <v>0</v>
      </c>
    </row>
    <row r="212">
      <c r="A212" s="1">
        <f>IFERROR(__xludf.DUMMYFUNCTION("""COMPUTED_VALUE"""),939188.0)</f>
        <v>939188</v>
      </c>
      <c r="B212" s="2">
        <f>IFERROR(__xludf.DUMMYFUNCTION("""COMPUTED_VALUE"""),42754.859304617705)</f>
        <v>42754.8593</v>
      </c>
      <c r="C212" s="1" t="str">
        <f>IFERROR(__xludf.DUMMYFUNCTION("""COMPUTED_VALUE"""),"control")</f>
        <v>control</v>
      </c>
      <c r="D212" s="1" t="str">
        <f>IFERROR(__xludf.DUMMYFUNCTION("""COMPUTED_VALUE"""),"old_page")</f>
        <v>old_page</v>
      </c>
      <c r="E212" s="1">
        <f>IFERROR(__xludf.DUMMYFUNCTION("""COMPUTED_VALUE"""),1.0)</f>
        <v>1</v>
      </c>
    </row>
    <row r="213">
      <c r="A213" s="1">
        <f>IFERROR(__xludf.DUMMYFUNCTION("""COMPUTED_VALUE"""),817695.0)</f>
        <v>817695</v>
      </c>
      <c r="B213" s="2">
        <f>IFERROR(__xludf.DUMMYFUNCTION("""COMPUTED_VALUE"""),42737.60226989626)</f>
        <v>42737.60227</v>
      </c>
      <c r="C213" s="1" t="str">
        <f>IFERROR(__xludf.DUMMYFUNCTION("""COMPUTED_VALUE"""),"control")</f>
        <v>control</v>
      </c>
      <c r="D213" s="1" t="str">
        <f>IFERROR(__xludf.DUMMYFUNCTION("""COMPUTED_VALUE"""),"old_page")</f>
        <v>old_page</v>
      </c>
      <c r="E213" s="1">
        <f>IFERROR(__xludf.DUMMYFUNCTION("""COMPUTED_VALUE"""),0.0)</f>
        <v>0</v>
      </c>
    </row>
    <row r="214">
      <c r="A214" s="1">
        <f>IFERROR(__xludf.DUMMYFUNCTION("""COMPUTED_VALUE"""),814201.0)</f>
        <v>814201</v>
      </c>
      <c r="B214" s="2">
        <f>IFERROR(__xludf.DUMMYFUNCTION("""COMPUTED_VALUE"""),42756.04288229662)</f>
        <v>42756.04288</v>
      </c>
      <c r="C214" s="1" t="str">
        <f>IFERROR(__xludf.DUMMYFUNCTION("""COMPUTED_VALUE"""),"control")</f>
        <v>control</v>
      </c>
      <c r="D214" s="1" t="str">
        <f>IFERROR(__xludf.DUMMYFUNCTION("""COMPUTED_VALUE"""),"old_page")</f>
        <v>old_page</v>
      </c>
      <c r="E214" s="1">
        <f>IFERROR(__xludf.DUMMYFUNCTION("""COMPUTED_VALUE"""),0.0)</f>
        <v>0</v>
      </c>
    </row>
    <row r="215">
      <c r="A215" s="1">
        <f>IFERROR(__xludf.DUMMYFUNCTION("""COMPUTED_VALUE"""),668672.0)</f>
        <v>668672</v>
      </c>
      <c r="B215" s="2">
        <f>IFERROR(__xludf.DUMMYFUNCTION("""COMPUTED_VALUE"""),42743.463626175304)</f>
        <v>42743.46363</v>
      </c>
      <c r="C215" s="1" t="str">
        <f>IFERROR(__xludf.DUMMYFUNCTION("""COMPUTED_VALUE"""),"treatment")</f>
        <v>treatment</v>
      </c>
      <c r="D215" s="1" t="str">
        <f>IFERROR(__xludf.DUMMYFUNCTION("""COMPUTED_VALUE"""),"new_page")</f>
        <v>new_page</v>
      </c>
      <c r="E215" s="1">
        <f>IFERROR(__xludf.DUMMYFUNCTION("""COMPUTED_VALUE"""),0.0)</f>
        <v>0</v>
      </c>
    </row>
    <row r="216">
      <c r="A216" s="1">
        <f>IFERROR(__xludf.DUMMYFUNCTION("""COMPUTED_VALUE"""),883848.0)</f>
        <v>883848</v>
      </c>
      <c r="B216" s="2">
        <f>IFERROR(__xludf.DUMMYFUNCTION("""COMPUTED_VALUE"""),42741.8883665439)</f>
        <v>42741.88837</v>
      </c>
      <c r="C216" s="1" t="str">
        <f>IFERROR(__xludf.DUMMYFUNCTION("""COMPUTED_VALUE"""),"treatment")</f>
        <v>treatment</v>
      </c>
      <c r="D216" s="1" t="str">
        <f>IFERROR(__xludf.DUMMYFUNCTION("""COMPUTED_VALUE"""),"new_page")</f>
        <v>new_page</v>
      </c>
      <c r="E216" s="1">
        <f>IFERROR(__xludf.DUMMYFUNCTION("""COMPUTED_VALUE"""),0.0)</f>
        <v>0</v>
      </c>
    </row>
    <row r="217">
      <c r="A217" s="1">
        <f>IFERROR(__xludf.DUMMYFUNCTION("""COMPUTED_VALUE"""),817234.0)</f>
        <v>817234</v>
      </c>
      <c r="B217" s="2">
        <f>IFERROR(__xludf.DUMMYFUNCTION("""COMPUTED_VALUE"""),42751.44497531038)</f>
        <v>42751.44498</v>
      </c>
      <c r="C217" s="1" t="str">
        <f>IFERROR(__xludf.DUMMYFUNCTION("""COMPUTED_VALUE"""),"control")</f>
        <v>control</v>
      </c>
      <c r="D217" s="1" t="str">
        <f>IFERROR(__xludf.DUMMYFUNCTION("""COMPUTED_VALUE"""),"old_page")</f>
        <v>old_page</v>
      </c>
      <c r="E217" s="1">
        <f>IFERROR(__xludf.DUMMYFUNCTION("""COMPUTED_VALUE"""),0.0)</f>
        <v>0</v>
      </c>
    </row>
    <row r="218">
      <c r="A218" s="1">
        <f>IFERROR(__xludf.DUMMYFUNCTION("""COMPUTED_VALUE"""),678020.0)</f>
        <v>678020</v>
      </c>
      <c r="B218" s="2">
        <f>IFERROR(__xludf.DUMMYFUNCTION("""COMPUTED_VALUE"""),42752.74060570984)</f>
        <v>42752.74061</v>
      </c>
      <c r="C218" s="1" t="str">
        <f>IFERROR(__xludf.DUMMYFUNCTION("""COMPUTED_VALUE"""),"treatment")</f>
        <v>treatment</v>
      </c>
      <c r="D218" s="1" t="str">
        <f>IFERROR(__xludf.DUMMYFUNCTION("""COMPUTED_VALUE"""),"new_page")</f>
        <v>new_page</v>
      </c>
      <c r="E218" s="1">
        <f>IFERROR(__xludf.DUMMYFUNCTION("""COMPUTED_VALUE"""),0.0)</f>
        <v>0</v>
      </c>
    </row>
    <row r="219">
      <c r="A219" s="1">
        <f>IFERROR(__xludf.DUMMYFUNCTION("""COMPUTED_VALUE"""),701757.0)</f>
        <v>701757</v>
      </c>
      <c r="B219" s="2">
        <f>IFERROR(__xludf.DUMMYFUNCTION("""COMPUTED_VALUE"""),42748.94078808106)</f>
        <v>42748.94079</v>
      </c>
      <c r="C219" s="1" t="str">
        <f>IFERROR(__xludf.DUMMYFUNCTION("""COMPUTED_VALUE"""),"treatment")</f>
        <v>treatment</v>
      </c>
      <c r="D219" s="1" t="str">
        <f>IFERROR(__xludf.DUMMYFUNCTION("""COMPUTED_VALUE"""),"new_page")</f>
        <v>new_page</v>
      </c>
      <c r="E219" s="1">
        <f>IFERROR(__xludf.DUMMYFUNCTION("""COMPUTED_VALUE"""),0.0)</f>
        <v>0</v>
      </c>
    </row>
    <row r="220">
      <c r="A220" s="1">
        <f>IFERROR(__xludf.DUMMYFUNCTION("""COMPUTED_VALUE"""),928902.0)</f>
        <v>928902</v>
      </c>
      <c r="B220" s="2">
        <f>IFERROR(__xludf.DUMMYFUNCTION("""COMPUTED_VALUE"""),42748.82699782845)</f>
        <v>42748.827</v>
      </c>
      <c r="C220" s="1" t="str">
        <f>IFERROR(__xludf.DUMMYFUNCTION("""COMPUTED_VALUE"""),"control")</f>
        <v>control</v>
      </c>
      <c r="D220" s="1" t="str">
        <f>IFERROR(__xludf.DUMMYFUNCTION("""COMPUTED_VALUE"""),"old_page")</f>
        <v>old_page</v>
      </c>
      <c r="E220" s="1">
        <f>IFERROR(__xludf.DUMMYFUNCTION("""COMPUTED_VALUE"""),0.0)</f>
        <v>0</v>
      </c>
    </row>
    <row r="221">
      <c r="A221" s="1">
        <f>IFERROR(__xludf.DUMMYFUNCTION("""COMPUTED_VALUE"""),699302.0)</f>
        <v>699302</v>
      </c>
      <c r="B221" s="2">
        <f>IFERROR(__xludf.DUMMYFUNCTION("""COMPUTED_VALUE"""),42745.20419955914)</f>
        <v>42745.2042</v>
      </c>
      <c r="C221" s="1" t="str">
        <f>IFERROR(__xludf.DUMMYFUNCTION("""COMPUTED_VALUE"""),"control")</f>
        <v>control</v>
      </c>
      <c r="D221" s="1" t="str">
        <f>IFERROR(__xludf.DUMMYFUNCTION("""COMPUTED_VALUE"""),"old_page")</f>
        <v>old_page</v>
      </c>
      <c r="E221" s="1">
        <f>IFERROR(__xludf.DUMMYFUNCTION("""COMPUTED_VALUE"""),0.0)</f>
        <v>0</v>
      </c>
    </row>
    <row r="222">
      <c r="A222" s="1">
        <f>IFERROR(__xludf.DUMMYFUNCTION("""COMPUTED_VALUE"""),847598.0)</f>
        <v>847598</v>
      </c>
      <c r="B222" s="2">
        <f>IFERROR(__xludf.DUMMYFUNCTION("""COMPUTED_VALUE"""),42749.758300808244)</f>
        <v>42749.7583</v>
      </c>
      <c r="C222" s="1" t="str">
        <f>IFERROR(__xludf.DUMMYFUNCTION("""COMPUTED_VALUE"""),"control")</f>
        <v>control</v>
      </c>
      <c r="D222" s="1" t="str">
        <f>IFERROR(__xludf.DUMMYFUNCTION("""COMPUTED_VALUE"""),"old_page")</f>
        <v>old_page</v>
      </c>
      <c r="E222" s="1">
        <f>IFERROR(__xludf.DUMMYFUNCTION("""COMPUTED_VALUE"""),0.0)</f>
        <v>0</v>
      </c>
    </row>
    <row r="223">
      <c r="A223" s="1">
        <f>IFERROR(__xludf.DUMMYFUNCTION("""COMPUTED_VALUE"""),810446.0)</f>
        <v>810446</v>
      </c>
      <c r="B223" s="2">
        <f>IFERROR(__xludf.DUMMYFUNCTION("""COMPUTED_VALUE"""),42751.79109173522)</f>
        <v>42751.79109</v>
      </c>
      <c r="C223" s="1" t="str">
        <f>IFERROR(__xludf.DUMMYFUNCTION("""COMPUTED_VALUE"""),"control")</f>
        <v>control</v>
      </c>
      <c r="D223" s="1" t="str">
        <f>IFERROR(__xludf.DUMMYFUNCTION("""COMPUTED_VALUE"""),"old_page")</f>
        <v>old_page</v>
      </c>
      <c r="E223" s="1">
        <f>IFERROR(__xludf.DUMMYFUNCTION("""COMPUTED_VALUE"""),0.0)</f>
        <v>0</v>
      </c>
    </row>
    <row r="224">
      <c r="A224" s="1">
        <f>IFERROR(__xludf.DUMMYFUNCTION("""COMPUTED_VALUE"""),746573.0)</f>
        <v>746573</v>
      </c>
      <c r="B224" s="2">
        <f>IFERROR(__xludf.DUMMYFUNCTION("""COMPUTED_VALUE"""),42758.716042591564)</f>
        <v>42758.71604</v>
      </c>
      <c r="C224" s="1" t="str">
        <f>IFERROR(__xludf.DUMMYFUNCTION("""COMPUTED_VALUE"""),"treatment")</f>
        <v>treatment</v>
      </c>
      <c r="D224" s="1" t="str">
        <f>IFERROR(__xludf.DUMMYFUNCTION("""COMPUTED_VALUE"""),"new_page")</f>
        <v>new_page</v>
      </c>
      <c r="E224" s="1">
        <f>IFERROR(__xludf.DUMMYFUNCTION("""COMPUTED_VALUE"""),0.0)</f>
        <v>0</v>
      </c>
    </row>
    <row r="225">
      <c r="A225" s="1">
        <f>IFERROR(__xludf.DUMMYFUNCTION("""COMPUTED_VALUE"""),872680.0)</f>
        <v>872680</v>
      </c>
      <c r="B225" s="2">
        <f>IFERROR(__xludf.DUMMYFUNCTION("""COMPUTED_VALUE"""),42752.24167526315)</f>
        <v>42752.24168</v>
      </c>
      <c r="C225" s="1" t="str">
        <f>IFERROR(__xludf.DUMMYFUNCTION("""COMPUTED_VALUE"""),"treatment")</f>
        <v>treatment</v>
      </c>
      <c r="D225" s="1" t="str">
        <f>IFERROR(__xludf.DUMMYFUNCTION("""COMPUTED_VALUE"""),"new_page")</f>
        <v>new_page</v>
      </c>
      <c r="E225" s="1">
        <f>IFERROR(__xludf.DUMMYFUNCTION("""COMPUTED_VALUE"""),0.0)</f>
        <v>0</v>
      </c>
    </row>
    <row r="226">
      <c r="A226" s="1">
        <f>IFERROR(__xludf.DUMMYFUNCTION("""COMPUTED_VALUE"""),674349.0)</f>
        <v>674349</v>
      </c>
      <c r="B226" s="2">
        <f>IFERROR(__xludf.DUMMYFUNCTION("""COMPUTED_VALUE"""),42754.14525147646)</f>
        <v>42754.14525</v>
      </c>
      <c r="C226" s="1" t="str">
        <f>IFERROR(__xludf.DUMMYFUNCTION("""COMPUTED_VALUE"""),"treatment")</f>
        <v>treatment</v>
      </c>
      <c r="D226" s="1" t="str">
        <f>IFERROR(__xludf.DUMMYFUNCTION("""COMPUTED_VALUE"""),"new_page")</f>
        <v>new_page</v>
      </c>
      <c r="E226" s="1">
        <f>IFERROR(__xludf.DUMMYFUNCTION("""COMPUTED_VALUE"""),0.0)</f>
        <v>0</v>
      </c>
    </row>
    <row r="227">
      <c r="A227" s="1">
        <f>IFERROR(__xludf.DUMMYFUNCTION("""COMPUTED_VALUE"""),785566.0)</f>
        <v>785566</v>
      </c>
      <c r="B227" s="2">
        <f>IFERROR(__xludf.DUMMYFUNCTION("""COMPUTED_VALUE"""),42741.571668382974)</f>
        <v>42741.57167</v>
      </c>
      <c r="C227" s="1" t="str">
        <f>IFERROR(__xludf.DUMMYFUNCTION("""COMPUTED_VALUE"""),"control")</f>
        <v>control</v>
      </c>
      <c r="D227" s="1" t="str">
        <f>IFERROR(__xludf.DUMMYFUNCTION("""COMPUTED_VALUE"""),"old_page")</f>
        <v>old_page</v>
      </c>
      <c r="E227" s="1">
        <f>IFERROR(__xludf.DUMMYFUNCTION("""COMPUTED_VALUE"""),0.0)</f>
        <v>0</v>
      </c>
    </row>
    <row r="228">
      <c r="A228" s="1">
        <f>IFERROR(__xludf.DUMMYFUNCTION("""COMPUTED_VALUE"""),773693.0)</f>
        <v>773693</v>
      </c>
      <c r="B228" s="2">
        <f>IFERROR(__xludf.DUMMYFUNCTION("""COMPUTED_VALUE"""),42758.7539949923)</f>
        <v>42758.75399</v>
      </c>
      <c r="C228" s="1" t="str">
        <f>IFERROR(__xludf.DUMMYFUNCTION("""COMPUTED_VALUE"""),"control")</f>
        <v>control</v>
      </c>
      <c r="D228" s="1" t="str">
        <f>IFERROR(__xludf.DUMMYFUNCTION("""COMPUTED_VALUE"""),"old_page")</f>
        <v>old_page</v>
      </c>
      <c r="E228" s="1">
        <f>IFERROR(__xludf.DUMMYFUNCTION("""COMPUTED_VALUE"""),1.0)</f>
        <v>1</v>
      </c>
    </row>
    <row r="229">
      <c r="A229" s="1">
        <f>IFERROR(__xludf.DUMMYFUNCTION("""COMPUTED_VALUE"""),920783.0)</f>
        <v>920783</v>
      </c>
      <c r="B229" s="2">
        <f>IFERROR(__xludf.DUMMYFUNCTION("""COMPUTED_VALUE"""),42744.6175002184)</f>
        <v>42744.6175</v>
      </c>
      <c r="C229" s="1" t="str">
        <f>IFERROR(__xludf.DUMMYFUNCTION("""COMPUTED_VALUE"""),"control")</f>
        <v>control</v>
      </c>
      <c r="D229" s="1" t="str">
        <f>IFERROR(__xludf.DUMMYFUNCTION("""COMPUTED_VALUE"""),"old_page")</f>
        <v>old_page</v>
      </c>
      <c r="E229" s="1">
        <f>IFERROR(__xludf.DUMMYFUNCTION("""COMPUTED_VALUE"""),0.0)</f>
        <v>0</v>
      </c>
    </row>
    <row r="230">
      <c r="A230" s="1">
        <f>IFERROR(__xludf.DUMMYFUNCTION("""COMPUTED_VALUE"""),649489.0)</f>
        <v>649489</v>
      </c>
      <c r="B230" s="2">
        <f>IFERROR(__xludf.DUMMYFUNCTION("""COMPUTED_VALUE"""),42754.583726575554)</f>
        <v>42754.58373</v>
      </c>
      <c r="C230" s="1" t="str">
        <f>IFERROR(__xludf.DUMMYFUNCTION("""COMPUTED_VALUE"""),"treatment")</f>
        <v>treatment</v>
      </c>
      <c r="D230" s="1" t="str">
        <f>IFERROR(__xludf.DUMMYFUNCTION("""COMPUTED_VALUE"""),"new_page")</f>
        <v>new_page</v>
      </c>
      <c r="E230" s="1">
        <f>IFERROR(__xludf.DUMMYFUNCTION("""COMPUTED_VALUE"""),0.0)</f>
        <v>0</v>
      </c>
    </row>
    <row r="231">
      <c r="A231" s="1">
        <f>IFERROR(__xludf.DUMMYFUNCTION("""COMPUTED_VALUE"""),769941.0)</f>
        <v>769941</v>
      </c>
      <c r="B231" s="2">
        <f>IFERROR(__xludf.DUMMYFUNCTION("""COMPUTED_VALUE"""),42754.4443151489)</f>
        <v>42754.44432</v>
      </c>
      <c r="C231" s="1" t="str">
        <f>IFERROR(__xludf.DUMMYFUNCTION("""COMPUTED_VALUE"""),"treatment")</f>
        <v>treatment</v>
      </c>
      <c r="D231" s="1" t="str">
        <f>IFERROR(__xludf.DUMMYFUNCTION("""COMPUTED_VALUE"""),"new_page")</f>
        <v>new_page</v>
      </c>
      <c r="E231" s="1">
        <f>IFERROR(__xludf.DUMMYFUNCTION("""COMPUTED_VALUE"""),0.0)</f>
        <v>0</v>
      </c>
    </row>
    <row r="232">
      <c r="A232" s="1">
        <f>IFERROR(__xludf.DUMMYFUNCTION("""COMPUTED_VALUE"""),670510.0)</f>
        <v>670510</v>
      </c>
      <c r="B232" s="2">
        <f>IFERROR(__xludf.DUMMYFUNCTION("""COMPUTED_VALUE"""),42758.75975988676)</f>
        <v>42758.75976</v>
      </c>
      <c r="C232" s="1" t="str">
        <f>IFERROR(__xludf.DUMMYFUNCTION("""COMPUTED_VALUE"""),"control")</f>
        <v>control</v>
      </c>
      <c r="D232" s="1" t="str">
        <f>IFERROR(__xludf.DUMMYFUNCTION("""COMPUTED_VALUE"""),"old_page")</f>
        <v>old_page</v>
      </c>
      <c r="E232" s="1">
        <f>IFERROR(__xludf.DUMMYFUNCTION("""COMPUTED_VALUE"""),0.0)</f>
        <v>0</v>
      </c>
    </row>
    <row r="233">
      <c r="A233" s="1">
        <f>IFERROR(__xludf.DUMMYFUNCTION("""COMPUTED_VALUE"""),800450.0)</f>
        <v>800450</v>
      </c>
      <c r="B233" s="2">
        <f>IFERROR(__xludf.DUMMYFUNCTION("""COMPUTED_VALUE"""),42749.63267533948)</f>
        <v>42749.63268</v>
      </c>
      <c r="C233" s="1" t="str">
        <f>IFERROR(__xludf.DUMMYFUNCTION("""COMPUTED_VALUE"""),"control")</f>
        <v>control</v>
      </c>
      <c r="D233" s="1" t="str">
        <f>IFERROR(__xludf.DUMMYFUNCTION("""COMPUTED_VALUE"""),"old_page")</f>
        <v>old_page</v>
      </c>
      <c r="E233" s="1">
        <f>IFERROR(__xludf.DUMMYFUNCTION("""COMPUTED_VALUE"""),0.0)</f>
        <v>0</v>
      </c>
    </row>
    <row r="234">
      <c r="A234" s="1">
        <f>IFERROR(__xludf.DUMMYFUNCTION("""COMPUTED_VALUE"""),900119.0)</f>
        <v>900119</v>
      </c>
      <c r="B234" s="2">
        <f>IFERROR(__xludf.DUMMYFUNCTION("""COMPUTED_VALUE"""),42750.456909142085)</f>
        <v>42750.45691</v>
      </c>
      <c r="C234" s="1" t="str">
        <f>IFERROR(__xludf.DUMMYFUNCTION("""COMPUTED_VALUE"""),"treatment")</f>
        <v>treatment</v>
      </c>
      <c r="D234" s="1" t="str">
        <f>IFERROR(__xludf.DUMMYFUNCTION("""COMPUTED_VALUE"""),"new_page")</f>
        <v>new_page</v>
      </c>
      <c r="E234" s="1">
        <f>IFERROR(__xludf.DUMMYFUNCTION("""COMPUTED_VALUE"""),0.0)</f>
        <v>0</v>
      </c>
    </row>
    <row r="235">
      <c r="A235" s="1">
        <f>IFERROR(__xludf.DUMMYFUNCTION("""COMPUTED_VALUE"""),786820.0)</f>
        <v>786820</v>
      </c>
      <c r="B235" s="2">
        <f>IFERROR(__xludf.DUMMYFUNCTION("""COMPUTED_VALUE"""),42755.85925309484)</f>
        <v>42755.85925</v>
      </c>
      <c r="C235" s="1" t="str">
        <f>IFERROR(__xludf.DUMMYFUNCTION("""COMPUTED_VALUE"""),"treatment")</f>
        <v>treatment</v>
      </c>
      <c r="D235" s="1" t="str">
        <f>IFERROR(__xludf.DUMMYFUNCTION("""COMPUTED_VALUE"""),"new_page")</f>
        <v>new_page</v>
      </c>
      <c r="E235" s="1">
        <f>IFERROR(__xludf.DUMMYFUNCTION("""COMPUTED_VALUE"""),0.0)</f>
        <v>0</v>
      </c>
    </row>
    <row r="236">
      <c r="A236" s="1">
        <f>IFERROR(__xludf.DUMMYFUNCTION("""COMPUTED_VALUE"""),882195.0)</f>
        <v>882195</v>
      </c>
      <c r="B236" s="2">
        <f>IFERROR(__xludf.DUMMYFUNCTION("""COMPUTED_VALUE"""),42747.68163815881)</f>
        <v>42747.68164</v>
      </c>
      <c r="C236" s="1" t="str">
        <f>IFERROR(__xludf.DUMMYFUNCTION("""COMPUTED_VALUE"""),"treatment")</f>
        <v>treatment</v>
      </c>
      <c r="D236" s="1" t="str">
        <f>IFERROR(__xludf.DUMMYFUNCTION("""COMPUTED_VALUE"""),"new_page")</f>
        <v>new_page</v>
      </c>
      <c r="E236" s="1">
        <f>IFERROR(__xludf.DUMMYFUNCTION("""COMPUTED_VALUE"""),0.0)</f>
        <v>0</v>
      </c>
    </row>
    <row r="237">
      <c r="A237" s="1">
        <f>IFERROR(__xludf.DUMMYFUNCTION("""COMPUTED_VALUE"""),746858.0)</f>
        <v>746858</v>
      </c>
      <c r="B237" s="2">
        <f>IFERROR(__xludf.DUMMYFUNCTION("""COMPUTED_VALUE"""),42755.40611729334)</f>
        <v>42755.40612</v>
      </c>
      <c r="C237" s="1" t="str">
        <f>IFERROR(__xludf.DUMMYFUNCTION("""COMPUTED_VALUE"""),"treatment")</f>
        <v>treatment</v>
      </c>
      <c r="D237" s="1" t="str">
        <f>IFERROR(__xludf.DUMMYFUNCTION("""COMPUTED_VALUE"""),"new_page")</f>
        <v>new_page</v>
      </c>
      <c r="E237" s="1">
        <f>IFERROR(__xludf.DUMMYFUNCTION("""COMPUTED_VALUE"""),1.0)</f>
        <v>1</v>
      </c>
    </row>
    <row r="238">
      <c r="A238" s="1">
        <f>IFERROR(__xludf.DUMMYFUNCTION("""COMPUTED_VALUE"""),733451.0)</f>
        <v>733451</v>
      </c>
      <c r="B238" s="2">
        <f>IFERROR(__xludf.DUMMYFUNCTION("""COMPUTED_VALUE"""),42742.67285666345)</f>
        <v>42742.67286</v>
      </c>
      <c r="C238" s="1" t="str">
        <f>IFERROR(__xludf.DUMMYFUNCTION("""COMPUTED_VALUE"""),"control")</f>
        <v>control</v>
      </c>
      <c r="D238" s="1" t="str">
        <f>IFERROR(__xludf.DUMMYFUNCTION("""COMPUTED_VALUE"""),"old_page")</f>
        <v>old_page</v>
      </c>
      <c r="E238" s="1">
        <f>IFERROR(__xludf.DUMMYFUNCTION("""COMPUTED_VALUE"""),0.0)</f>
        <v>0</v>
      </c>
    </row>
    <row r="239">
      <c r="A239" s="1">
        <f>IFERROR(__xludf.DUMMYFUNCTION("""COMPUTED_VALUE"""),836142.0)</f>
        <v>836142</v>
      </c>
      <c r="B239" s="2">
        <f>IFERROR(__xludf.DUMMYFUNCTION("""COMPUTED_VALUE"""),42753.397799922335)</f>
        <v>42753.3978</v>
      </c>
      <c r="C239" s="1" t="str">
        <f>IFERROR(__xludf.DUMMYFUNCTION("""COMPUTED_VALUE"""),"treatment")</f>
        <v>treatment</v>
      </c>
      <c r="D239" s="1" t="str">
        <f>IFERROR(__xludf.DUMMYFUNCTION("""COMPUTED_VALUE"""),"new_page")</f>
        <v>new_page</v>
      </c>
      <c r="E239" s="1">
        <f>IFERROR(__xludf.DUMMYFUNCTION("""COMPUTED_VALUE"""),0.0)</f>
        <v>0</v>
      </c>
    </row>
    <row r="240">
      <c r="A240" s="1">
        <f>IFERROR(__xludf.DUMMYFUNCTION("""COMPUTED_VALUE"""),680519.0)</f>
        <v>680519</v>
      </c>
      <c r="B240" s="2">
        <f>IFERROR(__xludf.DUMMYFUNCTION("""COMPUTED_VALUE"""),42745.29631436484)</f>
        <v>42745.29631</v>
      </c>
      <c r="C240" s="1" t="str">
        <f>IFERROR(__xludf.DUMMYFUNCTION("""COMPUTED_VALUE"""),"treatment")</f>
        <v>treatment</v>
      </c>
      <c r="D240" s="1" t="str">
        <f>IFERROR(__xludf.DUMMYFUNCTION("""COMPUTED_VALUE"""),"new_page")</f>
        <v>new_page</v>
      </c>
      <c r="E240" s="1">
        <f>IFERROR(__xludf.DUMMYFUNCTION("""COMPUTED_VALUE"""),1.0)</f>
        <v>1</v>
      </c>
    </row>
    <row r="241">
      <c r="A241" s="1">
        <f>IFERROR(__xludf.DUMMYFUNCTION("""COMPUTED_VALUE"""),810338.0)</f>
        <v>810338</v>
      </c>
      <c r="B241" s="2">
        <f>IFERROR(__xludf.DUMMYFUNCTION("""COMPUTED_VALUE"""),42747.97252413195)</f>
        <v>42747.97252</v>
      </c>
      <c r="C241" s="1" t="str">
        <f>IFERROR(__xludf.DUMMYFUNCTION("""COMPUTED_VALUE"""),"treatment")</f>
        <v>treatment</v>
      </c>
      <c r="D241" s="1" t="str">
        <f>IFERROR(__xludf.DUMMYFUNCTION("""COMPUTED_VALUE"""),"new_page")</f>
        <v>new_page</v>
      </c>
      <c r="E241" s="1">
        <f>IFERROR(__xludf.DUMMYFUNCTION("""COMPUTED_VALUE"""),1.0)</f>
        <v>1</v>
      </c>
    </row>
    <row r="242">
      <c r="A242" s="1">
        <f>IFERROR(__xludf.DUMMYFUNCTION("""COMPUTED_VALUE"""),733976.0)</f>
        <v>733976</v>
      </c>
      <c r="B242" s="2">
        <f>IFERROR(__xludf.DUMMYFUNCTION("""COMPUTED_VALUE"""),42746.632828791655)</f>
        <v>42746.63283</v>
      </c>
      <c r="C242" s="1" t="str">
        <f>IFERROR(__xludf.DUMMYFUNCTION("""COMPUTED_VALUE"""),"control")</f>
        <v>control</v>
      </c>
      <c r="D242" s="1" t="str">
        <f>IFERROR(__xludf.DUMMYFUNCTION("""COMPUTED_VALUE"""),"new_page")</f>
        <v>new_page</v>
      </c>
      <c r="E242" s="1">
        <f>IFERROR(__xludf.DUMMYFUNCTION("""COMPUTED_VALUE"""),0.0)</f>
        <v>0</v>
      </c>
    </row>
    <row r="243">
      <c r="A243" s="1">
        <f>IFERROR(__xludf.DUMMYFUNCTION("""COMPUTED_VALUE"""),673630.0)</f>
        <v>673630</v>
      </c>
      <c r="B243" s="2">
        <f>IFERROR(__xludf.DUMMYFUNCTION("""COMPUTED_VALUE"""),42750.156487087654)</f>
        <v>42750.15649</v>
      </c>
      <c r="C243" s="1" t="str">
        <f>IFERROR(__xludf.DUMMYFUNCTION("""COMPUTED_VALUE"""),"treatment")</f>
        <v>treatment</v>
      </c>
      <c r="D243" s="1" t="str">
        <f>IFERROR(__xludf.DUMMYFUNCTION("""COMPUTED_VALUE"""),"new_page")</f>
        <v>new_page</v>
      </c>
      <c r="E243" s="1">
        <f>IFERROR(__xludf.DUMMYFUNCTION("""COMPUTED_VALUE"""),0.0)</f>
        <v>0</v>
      </c>
    </row>
    <row r="244">
      <c r="A244" s="1">
        <f>IFERROR(__xludf.DUMMYFUNCTION("""COMPUTED_VALUE"""),803931.0)</f>
        <v>803931</v>
      </c>
      <c r="B244" s="2">
        <f>IFERROR(__xludf.DUMMYFUNCTION("""COMPUTED_VALUE"""),42742.53669771997)</f>
        <v>42742.5367</v>
      </c>
      <c r="C244" s="1" t="str">
        <f>IFERROR(__xludf.DUMMYFUNCTION("""COMPUTED_VALUE"""),"control")</f>
        <v>control</v>
      </c>
      <c r="D244" s="1" t="str">
        <f>IFERROR(__xludf.DUMMYFUNCTION("""COMPUTED_VALUE"""),"old_page")</f>
        <v>old_page</v>
      </c>
      <c r="E244" s="1">
        <f>IFERROR(__xludf.DUMMYFUNCTION("""COMPUTED_VALUE"""),0.0)</f>
        <v>0</v>
      </c>
    </row>
    <row r="245">
      <c r="A245" s="1">
        <f>IFERROR(__xludf.DUMMYFUNCTION("""COMPUTED_VALUE"""),740613.0)</f>
        <v>740613</v>
      </c>
      <c r="B245" s="2">
        <f>IFERROR(__xludf.DUMMYFUNCTION("""COMPUTED_VALUE"""),42739.57088898306)</f>
        <v>42739.57089</v>
      </c>
      <c r="C245" s="1" t="str">
        <f>IFERROR(__xludf.DUMMYFUNCTION("""COMPUTED_VALUE"""),"treatment")</f>
        <v>treatment</v>
      </c>
      <c r="D245" s="1" t="str">
        <f>IFERROR(__xludf.DUMMYFUNCTION("""COMPUTED_VALUE"""),"new_page")</f>
        <v>new_page</v>
      </c>
      <c r="E245" s="1">
        <f>IFERROR(__xludf.DUMMYFUNCTION("""COMPUTED_VALUE"""),0.0)</f>
        <v>0</v>
      </c>
    </row>
    <row r="246">
      <c r="A246" s="1">
        <f>IFERROR(__xludf.DUMMYFUNCTION("""COMPUTED_VALUE"""),945850.0)</f>
        <v>945850</v>
      </c>
      <c r="B246" s="2">
        <f>IFERROR(__xludf.DUMMYFUNCTION("""COMPUTED_VALUE"""),42754.68589098654)</f>
        <v>42754.68589</v>
      </c>
      <c r="C246" s="1" t="str">
        <f>IFERROR(__xludf.DUMMYFUNCTION("""COMPUTED_VALUE"""),"control")</f>
        <v>control</v>
      </c>
      <c r="D246" s="1" t="str">
        <f>IFERROR(__xludf.DUMMYFUNCTION("""COMPUTED_VALUE"""),"old_page")</f>
        <v>old_page</v>
      </c>
      <c r="E246" s="1">
        <f>IFERROR(__xludf.DUMMYFUNCTION("""COMPUTED_VALUE"""),0.0)</f>
        <v>0</v>
      </c>
    </row>
    <row r="247">
      <c r="A247" s="1">
        <f>IFERROR(__xludf.DUMMYFUNCTION("""COMPUTED_VALUE"""),925680.0)</f>
        <v>925680</v>
      </c>
      <c r="B247" s="2">
        <f>IFERROR(__xludf.DUMMYFUNCTION("""COMPUTED_VALUE"""),42756.26679193174)</f>
        <v>42756.26679</v>
      </c>
      <c r="C247" s="1" t="str">
        <f>IFERROR(__xludf.DUMMYFUNCTION("""COMPUTED_VALUE"""),"control")</f>
        <v>control</v>
      </c>
      <c r="D247" s="1" t="str">
        <f>IFERROR(__xludf.DUMMYFUNCTION("""COMPUTED_VALUE"""),"old_page")</f>
        <v>old_page</v>
      </c>
      <c r="E247" s="1">
        <f>IFERROR(__xludf.DUMMYFUNCTION("""COMPUTED_VALUE"""),0.0)</f>
        <v>0</v>
      </c>
    </row>
    <row r="248">
      <c r="A248" s="1">
        <f>IFERROR(__xludf.DUMMYFUNCTION("""COMPUTED_VALUE"""),704650.0)</f>
        <v>704650</v>
      </c>
      <c r="B248" s="2">
        <f>IFERROR(__xludf.DUMMYFUNCTION("""COMPUTED_VALUE"""),42739.7992205447)</f>
        <v>42739.79922</v>
      </c>
      <c r="C248" s="1" t="str">
        <f>IFERROR(__xludf.DUMMYFUNCTION("""COMPUTED_VALUE"""),"treatment")</f>
        <v>treatment</v>
      </c>
      <c r="D248" s="1" t="str">
        <f>IFERROR(__xludf.DUMMYFUNCTION("""COMPUTED_VALUE"""),"new_page")</f>
        <v>new_page</v>
      </c>
      <c r="E248" s="1">
        <f>IFERROR(__xludf.DUMMYFUNCTION("""COMPUTED_VALUE"""),0.0)</f>
        <v>0</v>
      </c>
    </row>
    <row r="249">
      <c r="A249" s="1">
        <f>IFERROR(__xludf.DUMMYFUNCTION("""COMPUTED_VALUE"""),731709.0)</f>
        <v>731709</v>
      </c>
      <c r="B249" s="2">
        <f>IFERROR(__xludf.DUMMYFUNCTION("""COMPUTED_VALUE"""),42750.44687934036)</f>
        <v>42750.44688</v>
      </c>
      <c r="C249" s="1" t="str">
        <f>IFERROR(__xludf.DUMMYFUNCTION("""COMPUTED_VALUE"""),"control")</f>
        <v>control</v>
      </c>
      <c r="D249" s="1" t="str">
        <f>IFERROR(__xludf.DUMMYFUNCTION("""COMPUTED_VALUE"""),"old_page")</f>
        <v>old_page</v>
      </c>
      <c r="E249" s="1">
        <f>IFERROR(__xludf.DUMMYFUNCTION("""COMPUTED_VALUE"""),0.0)</f>
        <v>0</v>
      </c>
    </row>
    <row r="250">
      <c r="A250" s="1">
        <f>IFERROR(__xludf.DUMMYFUNCTION("""COMPUTED_VALUE"""),780678.0)</f>
        <v>780678</v>
      </c>
      <c r="B250" s="2">
        <f>IFERROR(__xludf.DUMMYFUNCTION("""COMPUTED_VALUE"""),42738.97788240761)</f>
        <v>42738.97788</v>
      </c>
      <c r="C250" s="1" t="str">
        <f>IFERROR(__xludf.DUMMYFUNCTION("""COMPUTED_VALUE"""),"control")</f>
        <v>control</v>
      </c>
      <c r="D250" s="1" t="str">
        <f>IFERROR(__xludf.DUMMYFUNCTION("""COMPUTED_VALUE"""),"old_page")</f>
        <v>old_page</v>
      </c>
      <c r="E250" s="1">
        <f>IFERROR(__xludf.DUMMYFUNCTION("""COMPUTED_VALUE"""),0.0)</f>
        <v>0</v>
      </c>
    </row>
    <row r="251">
      <c r="A251" s="1">
        <f>IFERROR(__xludf.DUMMYFUNCTION("""COMPUTED_VALUE"""),662317.0)</f>
        <v>662317</v>
      </c>
      <c r="B251" s="2">
        <f>IFERROR(__xludf.DUMMYFUNCTION("""COMPUTED_VALUE"""),42748.63695677592)</f>
        <v>42748.63696</v>
      </c>
      <c r="C251" s="1" t="str">
        <f>IFERROR(__xludf.DUMMYFUNCTION("""COMPUTED_VALUE"""),"treatment")</f>
        <v>treatment</v>
      </c>
      <c r="D251" s="1" t="str">
        <f>IFERROR(__xludf.DUMMYFUNCTION("""COMPUTED_VALUE"""),"new_page")</f>
        <v>new_page</v>
      </c>
      <c r="E251" s="1">
        <f>IFERROR(__xludf.DUMMYFUNCTION("""COMPUTED_VALUE"""),0.0)</f>
        <v>0</v>
      </c>
    </row>
    <row r="252">
      <c r="A252" s="1">
        <f>IFERROR(__xludf.DUMMYFUNCTION("""COMPUTED_VALUE"""),881659.0)</f>
        <v>881659</v>
      </c>
      <c r="B252" s="2">
        <f>IFERROR(__xludf.DUMMYFUNCTION("""COMPUTED_VALUE"""),42755.04690925296)</f>
        <v>42755.04691</v>
      </c>
      <c r="C252" s="1" t="str">
        <f>IFERROR(__xludf.DUMMYFUNCTION("""COMPUTED_VALUE"""),"control")</f>
        <v>control</v>
      </c>
      <c r="D252" s="1" t="str">
        <f>IFERROR(__xludf.DUMMYFUNCTION("""COMPUTED_VALUE"""),"old_page")</f>
        <v>old_page</v>
      </c>
      <c r="E252" s="1">
        <f>IFERROR(__xludf.DUMMYFUNCTION("""COMPUTED_VALUE"""),0.0)</f>
        <v>0</v>
      </c>
    </row>
    <row r="253">
      <c r="A253" s="1">
        <f>IFERROR(__xludf.DUMMYFUNCTION("""COMPUTED_VALUE"""),668166.0)</f>
        <v>668166</v>
      </c>
      <c r="B253" s="2">
        <f>IFERROR(__xludf.DUMMYFUNCTION("""COMPUTED_VALUE"""),42757.73244815853)</f>
        <v>42757.73245</v>
      </c>
      <c r="C253" s="1" t="str">
        <f>IFERROR(__xludf.DUMMYFUNCTION("""COMPUTED_VALUE"""),"control")</f>
        <v>control</v>
      </c>
      <c r="D253" s="1" t="str">
        <f>IFERROR(__xludf.DUMMYFUNCTION("""COMPUTED_VALUE"""),"old_page")</f>
        <v>old_page</v>
      </c>
      <c r="E253" s="1">
        <f>IFERROR(__xludf.DUMMYFUNCTION("""COMPUTED_VALUE"""),0.0)</f>
        <v>0</v>
      </c>
    </row>
    <row r="254">
      <c r="A254" s="1">
        <f>IFERROR(__xludf.DUMMYFUNCTION("""COMPUTED_VALUE"""),921060.0)</f>
        <v>921060</v>
      </c>
      <c r="B254" s="2">
        <f>IFERROR(__xludf.DUMMYFUNCTION("""COMPUTED_VALUE"""),42753.61036808063)</f>
        <v>42753.61037</v>
      </c>
      <c r="C254" s="1" t="str">
        <f>IFERROR(__xludf.DUMMYFUNCTION("""COMPUTED_VALUE"""),"treatment")</f>
        <v>treatment</v>
      </c>
      <c r="D254" s="1" t="str">
        <f>IFERROR(__xludf.DUMMYFUNCTION("""COMPUTED_VALUE"""),"new_page")</f>
        <v>new_page</v>
      </c>
      <c r="E254" s="1">
        <f>IFERROR(__xludf.DUMMYFUNCTION("""COMPUTED_VALUE"""),0.0)</f>
        <v>0</v>
      </c>
    </row>
    <row r="255">
      <c r="A255" s="1">
        <f>IFERROR(__xludf.DUMMYFUNCTION("""COMPUTED_VALUE"""),662210.0)</f>
        <v>662210</v>
      </c>
      <c r="B255" s="2">
        <f>IFERROR(__xludf.DUMMYFUNCTION("""COMPUTED_VALUE"""),42743.178803401344)</f>
        <v>42743.1788</v>
      </c>
      <c r="C255" s="1" t="str">
        <f>IFERROR(__xludf.DUMMYFUNCTION("""COMPUTED_VALUE"""),"treatment")</f>
        <v>treatment</v>
      </c>
      <c r="D255" s="1" t="str">
        <f>IFERROR(__xludf.DUMMYFUNCTION("""COMPUTED_VALUE"""),"new_page")</f>
        <v>new_page</v>
      </c>
      <c r="E255" s="1">
        <f>IFERROR(__xludf.DUMMYFUNCTION("""COMPUTED_VALUE"""),1.0)</f>
        <v>1</v>
      </c>
    </row>
    <row r="256">
      <c r="A256" s="1">
        <f>IFERROR(__xludf.DUMMYFUNCTION("""COMPUTED_VALUE"""),767076.0)</f>
        <v>767076</v>
      </c>
      <c r="B256" s="2">
        <f>IFERROR(__xludf.DUMMYFUNCTION("""COMPUTED_VALUE"""),42751.76088637072)</f>
        <v>42751.76089</v>
      </c>
      <c r="C256" s="1" t="str">
        <f>IFERROR(__xludf.DUMMYFUNCTION("""COMPUTED_VALUE"""),"treatment")</f>
        <v>treatment</v>
      </c>
      <c r="D256" s="1" t="str">
        <f>IFERROR(__xludf.DUMMYFUNCTION("""COMPUTED_VALUE"""),"new_page")</f>
        <v>new_page</v>
      </c>
      <c r="E256" s="1">
        <f>IFERROR(__xludf.DUMMYFUNCTION("""COMPUTED_VALUE"""),0.0)</f>
        <v>0</v>
      </c>
    </row>
    <row r="257">
      <c r="A257" s="1">
        <f>IFERROR(__xludf.DUMMYFUNCTION("""COMPUTED_VALUE"""),861241.0)</f>
        <v>861241</v>
      </c>
      <c r="B257" s="2">
        <f>IFERROR(__xludf.DUMMYFUNCTION("""COMPUTED_VALUE"""),42751.312169974626)</f>
        <v>42751.31217</v>
      </c>
      <c r="C257" s="1" t="str">
        <f>IFERROR(__xludf.DUMMYFUNCTION("""COMPUTED_VALUE"""),"control")</f>
        <v>control</v>
      </c>
      <c r="D257" s="1" t="str">
        <f>IFERROR(__xludf.DUMMYFUNCTION("""COMPUTED_VALUE"""),"old_page")</f>
        <v>old_page</v>
      </c>
      <c r="E257" s="1">
        <f>IFERROR(__xludf.DUMMYFUNCTION("""COMPUTED_VALUE"""),1.0)</f>
        <v>1</v>
      </c>
    </row>
    <row r="258">
      <c r="A258" s="1">
        <f>IFERROR(__xludf.DUMMYFUNCTION("""COMPUTED_VALUE"""),649981.0)</f>
        <v>649981</v>
      </c>
      <c r="B258" s="2">
        <f>IFERROR(__xludf.DUMMYFUNCTION("""COMPUTED_VALUE"""),42747.5914727343)</f>
        <v>42747.59147</v>
      </c>
      <c r="C258" s="1" t="str">
        <f>IFERROR(__xludf.DUMMYFUNCTION("""COMPUTED_VALUE"""),"control")</f>
        <v>control</v>
      </c>
      <c r="D258" s="1" t="str">
        <f>IFERROR(__xludf.DUMMYFUNCTION("""COMPUTED_VALUE"""),"old_page")</f>
        <v>old_page</v>
      </c>
      <c r="E258" s="1">
        <f>IFERROR(__xludf.DUMMYFUNCTION("""COMPUTED_VALUE"""),1.0)</f>
        <v>1</v>
      </c>
    </row>
    <row r="259">
      <c r="A259" s="1">
        <f>IFERROR(__xludf.DUMMYFUNCTION("""COMPUTED_VALUE"""),899373.0)</f>
        <v>899373</v>
      </c>
      <c r="B259" s="2">
        <f>IFERROR(__xludf.DUMMYFUNCTION("""COMPUTED_VALUE"""),42743.06029210575)</f>
        <v>42743.06029</v>
      </c>
      <c r="C259" s="1" t="str">
        <f>IFERROR(__xludf.DUMMYFUNCTION("""COMPUTED_VALUE"""),"control")</f>
        <v>control</v>
      </c>
      <c r="D259" s="1" t="str">
        <f>IFERROR(__xludf.DUMMYFUNCTION("""COMPUTED_VALUE"""),"old_page")</f>
        <v>old_page</v>
      </c>
      <c r="E259" s="1">
        <f>IFERROR(__xludf.DUMMYFUNCTION("""COMPUTED_VALUE"""),0.0)</f>
        <v>0</v>
      </c>
    </row>
    <row r="260">
      <c r="A260" s="1">
        <f>IFERROR(__xludf.DUMMYFUNCTION("""COMPUTED_VALUE"""),675886.0)</f>
        <v>675886</v>
      </c>
      <c r="B260" s="2">
        <f>IFERROR(__xludf.DUMMYFUNCTION("""COMPUTED_VALUE"""),42749.30491279077)</f>
        <v>42749.30491</v>
      </c>
      <c r="C260" s="1" t="str">
        <f>IFERROR(__xludf.DUMMYFUNCTION("""COMPUTED_VALUE"""),"control")</f>
        <v>control</v>
      </c>
      <c r="D260" s="1" t="str">
        <f>IFERROR(__xludf.DUMMYFUNCTION("""COMPUTED_VALUE"""),"old_page")</f>
        <v>old_page</v>
      </c>
      <c r="E260" s="1">
        <f>IFERROR(__xludf.DUMMYFUNCTION("""COMPUTED_VALUE"""),0.0)</f>
        <v>0</v>
      </c>
    </row>
    <row r="261">
      <c r="A261" s="1">
        <f>IFERROR(__xludf.DUMMYFUNCTION("""COMPUTED_VALUE"""),849495.0)</f>
        <v>849495</v>
      </c>
      <c r="B261" s="2">
        <f>IFERROR(__xludf.DUMMYFUNCTION("""COMPUTED_VALUE"""),42757.27671630685)</f>
        <v>42757.27672</v>
      </c>
      <c r="C261" s="1" t="str">
        <f>IFERROR(__xludf.DUMMYFUNCTION("""COMPUTED_VALUE"""),"treatment")</f>
        <v>treatment</v>
      </c>
      <c r="D261" s="1" t="str">
        <f>IFERROR(__xludf.DUMMYFUNCTION("""COMPUTED_VALUE"""),"new_page")</f>
        <v>new_page</v>
      </c>
      <c r="E261" s="1">
        <f>IFERROR(__xludf.DUMMYFUNCTION("""COMPUTED_VALUE"""),0.0)</f>
        <v>0</v>
      </c>
    </row>
    <row r="262">
      <c r="A262" s="1">
        <f>IFERROR(__xludf.DUMMYFUNCTION("""COMPUTED_VALUE"""),888264.0)</f>
        <v>888264</v>
      </c>
      <c r="B262" s="2">
        <f>IFERROR(__xludf.DUMMYFUNCTION("""COMPUTED_VALUE"""),42749.73086940169)</f>
        <v>42749.73087</v>
      </c>
      <c r="C262" s="1" t="str">
        <f>IFERROR(__xludf.DUMMYFUNCTION("""COMPUTED_VALUE"""),"treatment")</f>
        <v>treatment</v>
      </c>
      <c r="D262" s="1" t="str">
        <f>IFERROR(__xludf.DUMMYFUNCTION("""COMPUTED_VALUE"""),"new_page")</f>
        <v>new_page</v>
      </c>
      <c r="E262" s="1">
        <f>IFERROR(__xludf.DUMMYFUNCTION("""COMPUTED_VALUE"""),0.0)</f>
        <v>0</v>
      </c>
    </row>
    <row r="263">
      <c r="A263" s="1">
        <f>IFERROR(__xludf.DUMMYFUNCTION("""COMPUTED_VALUE"""),853744.0)</f>
        <v>853744</v>
      </c>
      <c r="B263" s="2">
        <f>IFERROR(__xludf.DUMMYFUNCTION("""COMPUTED_VALUE"""),42742.72686033742)</f>
        <v>42742.72686</v>
      </c>
      <c r="C263" s="1" t="str">
        <f>IFERROR(__xludf.DUMMYFUNCTION("""COMPUTED_VALUE"""),"control")</f>
        <v>control</v>
      </c>
      <c r="D263" s="1" t="str">
        <f>IFERROR(__xludf.DUMMYFUNCTION("""COMPUTED_VALUE"""),"old_page")</f>
        <v>old_page</v>
      </c>
      <c r="E263" s="1">
        <f>IFERROR(__xludf.DUMMYFUNCTION("""COMPUTED_VALUE"""),1.0)</f>
        <v>1</v>
      </c>
    </row>
    <row r="264">
      <c r="A264" s="1">
        <f>IFERROR(__xludf.DUMMYFUNCTION("""COMPUTED_VALUE"""),741507.0)</f>
        <v>741507</v>
      </c>
      <c r="B264" s="2">
        <f>IFERROR(__xludf.DUMMYFUNCTION("""COMPUTED_VALUE"""),42750.24661491177)</f>
        <v>42750.24661</v>
      </c>
      <c r="C264" s="1" t="str">
        <f>IFERROR(__xludf.DUMMYFUNCTION("""COMPUTED_VALUE"""),"treatment")</f>
        <v>treatment</v>
      </c>
      <c r="D264" s="1" t="str">
        <f>IFERROR(__xludf.DUMMYFUNCTION("""COMPUTED_VALUE"""),"new_page")</f>
        <v>new_page</v>
      </c>
      <c r="E264" s="1">
        <f>IFERROR(__xludf.DUMMYFUNCTION("""COMPUTED_VALUE"""),0.0)</f>
        <v>0</v>
      </c>
    </row>
    <row r="265">
      <c r="A265" s="1">
        <f>IFERROR(__xludf.DUMMYFUNCTION("""COMPUTED_VALUE"""),663896.0)</f>
        <v>663896</v>
      </c>
      <c r="B265" s="2">
        <f>IFERROR(__xludf.DUMMYFUNCTION("""COMPUTED_VALUE"""),42741.0168827903)</f>
        <v>42741.01688</v>
      </c>
      <c r="C265" s="1" t="str">
        <f>IFERROR(__xludf.DUMMYFUNCTION("""COMPUTED_VALUE"""),"treatment")</f>
        <v>treatment</v>
      </c>
      <c r="D265" s="1" t="str">
        <f>IFERROR(__xludf.DUMMYFUNCTION("""COMPUTED_VALUE"""),"new_page")</f>
        <v>new_page</v>
      </c>
      <c r="E265" s="1">
        <f>IFERROR(__xludf.DUMMYFUNCTION("""COMPUTED_VALUE"""),0.0)</f>
        <v>0</v>
      </c>
    </row>
    <row r="266">
      <c r="A266" s="1">
        <f>IFERROR(__xludf.DUMMYFUNCTION("""COMPUTED_VALUE"""),827988.0)</f>
        <v>827988</v>
      </c>
      <c r="B266" s="2">
        <f>IFERROR(__xludf.DUMMYFUNCTION("""COMPUTED_VALUE"""),42751.596793243254)</f>
        <v>42751.59679</v>
      </c>
      <c r="C266" s="1" t="str">
        <f>IFERROR(__xludf.DUMMYFUNCTION("""COMPUTED_VALUE"""),"control")</f>
        <v>control</v>
      </c>
      <c r="D266" s="1" t="str">
        <f>IFERROR(__xludf.DUMMYFUNCTION("""COMPUTED_VALUE"""),"old_page")</f>
        <v>old_page</v>
      </c>
      <c r="E266" s="1">
        <f>IFERROR(__xludf.DUMMYFUNCTION("""COMPUTED_VALUE"""),0.0)</f>
        <v>0</v>
      </c>
    </row>
    <row r="267">
      <c r="A267" s="1">
        <f>IFERROR(__xludf.DUMMYFUNCTION("""COMPUTED_VALUE"""),775056.0)</f>
        <v>775056</v>
      </c>
      <c r="B267" s="2">
        <f>IFERROR(__xludf.DUMMYFUNCTION("""COMPUTED_VALUE"""),42754.7737831229)</f>
        <v>42754.77378</v>
      </c>
      <c r="C267" s="1" t="str">
        <f>IFERROR(__xludf.DUMMYFUNCTION("""COMPUTED_VALUE"""),"control")</f>
        <v>control</v>
      </c>
      <c r="D267" s="1" t="str">
        <f>IFERROR(__xludf.DUMMYFUNCTION("""COMPUTED_VALUE"""),"old_page")</f>
        <v>old_page</v>
      </c>
      <c r="E267" s="1">
        <f>IFERROR(__xludf.DUMMYFUNCTION("""COMPUTED_VALUE"""),0.0)</f>
        <v>0</v>
      </c>
    </row>
    <row r="268">
      <c r="A268" s="1">
        <f>IFERROR(__xludf.DUMMYFUNCTION("""COMPUTED_VALUE"""),828709.0)</f>
        <v>828709</v>
      </c>
      <c r="B268" s="2">
        <f>IFERROR(__xludf.DUMMYFUNCTION("""COMPUTED_VALUE"""),42758.38984011758)</f>
        <v>42758.38984</v>
      </c>
      <c r="C268" s="1" t="str">
        <f>IFERROR(__xludf.DUMMYFUNCTION("""COMPUTED_VALUE"""),"treatment")</f>
        <v>treatment</v>
      </c>
      <c r="D268" s="1" t="str">
        <f>IFERROR(__xludf.DUMMYFUNCTION("""COMPUTED_VALUE"""),"new_page")</f>
        <v>new_page</v>
      </c>
      <c r="E268" s="1">
        <f>IFERROR(__xludf.DUMMYFUNCTION("""COMPUTED_VALUE"""),0.0)</f>
        <v>0</v>
      </c>
    </row>
    <row r="269">
      <c r="A269" s="1">
        <f>IFERROR(__xludf.DUMMYFUNCTION("""COMPUTED_VALUE"""),719330.0)</f>
        <v>719330</v>
      </c>
      <c r="B269" s="2">
        <f>IFERROR(__xludf.DUMMYFUNCTION("""COMPUTED_VALUE"""),42739.41996305004)</f>
        <v>42739.41996</v>
      </c>
      <c r="C269" s="1" t="str">
        <f>IFERROR(__xludf.DUMMYFUNCTION("""COMPUTED_VALUE"""),"treatment")</f>
        <v>treatment</v>
      </c>
      <c r="D269" s="1" t="str">
        <f>IFERROR(__xludf.DUMMYFUNCTION("""COMPUTED_VALUE"""),"new_page")</f>
        <v>new_page</v>
      </c>
      <c r="E269" s="1">
        <f>IFERROR(__xludf.DUMMYFUNCTION("""COMPUTED_VALUE"""),0.0)</f>
        <v>0</v>
      </c>
    </row>
    <row r="270">
      <c r="A270" s="1">
        <f>IFERROR(__xludf.DUMMYFUNCTION("""COMPUTED_VALUE"""),664992.0)</f>
        <v>664992</v>
      </c>
      <c r="B270" s="2">
        <f>IFERROR(__xludf.DUMMYFUNCTION("""COMPUTED_VALUE"""),42757.42573946478)</f>
        <v>42757.42574</v>
      </c>
      <c r="C270" s="1" t="str">
        <f>IFERROR(__xludf.DUMMYFUNCTION("""COMPUTED_VALUE"""),"treatment")</f>
        <v>treatment</v>
      </c>
      <c r="D270" s="1" t="str">
        <f>IFERROR(__xludf.DUMMYFUNCTION("""COMPUTED_VALUE"""),"new_page")</f>
        <v>new_page</v>
      </c>
      <c r="E270" s="1">
        <f>IFERROR(__xludf.DUMMYFUNCTION("""COMPUTED_VALUE"""),0.0)</f>
        <v>0</v>
      </c>
    </row>
    <row r="271">
      <c r="A271" s="1">
        <f>IFERROR(__xludf.DUMMYFUNCTION("""COMPUTED_VALUE"""),670052.0)</f>
        <v>670052</v>
      </c>
      <c r="B271" s="2">
        <f>IFERROR(__xludf.DUMMYFUNCTION("""COMPUTED_VALUE"""),42742.44376272976)</f>
        <v>42742.44376</v>
      </c>
      <c r="C271" s="1" t="str">
        <f>IFERROR(__xludf.DUMMYFUNCTION("""COMPUTED_VALUE"""),"control")</f>
        <v>control</v>
      </c>
      <c r="D271" s="1" t="str">
        <f>IFERROR(__xludf.DUMMYFUNCTION("""COMPUTED_VALUE"""),"old_page")</f>
        <v>old_page</v>
      </c>
      <c r="E271" s="1">
        <f>IFERROR(__xludf.DUMMYFUNCTION("""COMPUTED_VALUE"""),0.0)</f>
        <v>0</v>
      </c>
    </row>
    <row r="272">
      <c r="A272" s="1">
        <f>IFERROR(__xludf.DUMMYFUNCTION("""COMPUTED_VALUE"""),730376.0)</f>
        <v>730376</v>
      </c>
      <c r="B272" s="2">
        <f>IFERROR(__xludf.DUMMYFUNCTION("""COMPUTED_VALUE"""),42746.86280285048)</f>
        <v>42746.8628</v>
      </c>
      <c r="C272" s="1" t="str">
        <f>IFERROR(__xludf.DUMMYFUNCTION("""COMPUTED_VALUE"""),"control")</f>
        <v>control</v>
      </c>
      <c r="D272" s="1" t="str">
        <f>IFERROR(__xludf.DUMMYFUNCTION("""COMPUTED_VALUE"""),"old_page")</f>
        <v>old_page</v>
      </c>
      <c r="E272" s="1">
        <f>IFERROR(__xludf.DUMMYFUNCTION("""COMPUTED_VALUE"""),0.0)</f>
        <v>0</v>
      </c>
    </row>
    <row r="273">
      <c r="A273" s="1">
        <f>IFERROR(__xludf.DUMMYFUNCTION("""COMPUTED_VALUE"""),730619.0)</f>
        <v>730619</v>
      </c>
      <c r="B273" s="2">
        <f>IFERROR(__xludf.DUMMYFUNCTION("""COMPUTED_VALUE"""),42757.144376717166)</f>
        <v>42757.14438</v>
      </c>
      <c r="C273" s="1" t="str">
        <f>IFERROR(__xludf.DUMMYFUNCTION("""COMPUTED_VALUE"""),"control")</f>
        <v>control</v>
      </c>
      <c r="D273" s="1" t="str">
        <f>IFERROR(__xludf.DUMMYFUNCTION("""COMPUTED_VALUE"""),"old_page")</f>
        <v>old_page</v>
      </c>
      <c r="E273" s="1">
        <f>IFERROR(__xludf.DUMMYFUNCTION("""COMPUTED_VALUE"""),0.0)</f>
        <v>0</v>
      </c>
    </row>
    <row r="274">
      <c r="A274" s="1">
        <f>IFERROR(__xludf.DUMMYFUNCTION("""COMPUTED_VALUE"""),784585.0)</f>
        <v>784585</v>
      </c>
      <c r="B274" s="2">
        <f>IFERROR(__xludf.DUMMYFUNCTION("""COMPUTED_VALUE"""),42745.270866628285)</f>
        <v>42745.27087</v>
      </c>
      <c r="C274" s="1" t="str">
        <f>IFERROR(__xludf.DUMMYFUNCTION("""COMPUTED_VALUE"""),"control")</f>
        <v>control</v>
      </c>
      <c r="D274" s="1" t="str">
        <f>IFERROR(__xludf.DUMMYFUNCTION("""COMPUTED_VALUE"""),"old_page")</f>
        <v>old_page</v>
      </c>
      <c r="E274" s="1">
        <f>IFERROR(__xludf.DUMMYFUNCTION("""COMPUTED_VALUE"""),0.0)</f>
        <v>0</v>
      </c>
    </row>
    <row r="275">
      <c r="A275" s="1">
        <f>IFERROR(__xludf.DUMMYFUNCTION("""COMPUTED_VALUE"""),631523.0)</f>
        <v>631523</v>
      </c>
      <c r="B275" s="2">
        <f>IFERROR(__xludf.DUMMYFUNCTION("""COMPUTED_VALUE"""),42750.8090691533)</f>
        <v>42750.80907</v>
      </c>
      <c r="C275" s="1" t="str">
        <f>IFERROR(__xludf.DUMMYFUNCTION("""COMPUTED_VALUE"""),"control")</f>
        <v>control</v>
      </c>
      <c r="D275" s="1" t="str">
        <f>IFERROR(__xludf.DUMMYFUNCTION("""COMPUTED_VALUE"""),"old_page")</f>
        <v>old_page</v>
      </c>
      <c r="E275" s="1">
        <f>IFERROR(__xludf.DUMMYFUNCTION("""COMPUTED_VALUE"""),0.0)</f>
        <v>0</v>
      </c>
    </row>
    <row r="276">
      <c r="A276" s="1">
        <f>IFERROR(__xludf.DUMMYFUNCTION("""COMPUTED_VALUE"""),768076.0)</f>
        <v>768076</v>
      </c>
      <c r="B276" s="2">
        <f>IFERROR(__xludf.DUMMYFUNCTION("""COMPUTED_VALUE"""),42753.21850545363)</f>
        <v>42753.21851</v>
      </c>
      <c r="C276" s="1" t="str">
        <f>IFERROR(__xludf.DUMMYFUNCTION("""COMPUTED_VALUE"""),"control")</f>
        <v>control</v>
      </c>
      <c r="D276" s="1" t="str">
        <f>IFERROR(__xludf.DUMMYFUNCTION("""COMPUTED_VALUE"""),"old_page")</f>
        <v>old_page</v>
      </c>
      <c r="E276" s="1">
        <f>IFERROR(__xludf.DUMMYFUNCTION("""COMPUTED_VALUE"""),0.0)</f>
        <v>0</v>
      </c>
    </row>
    <row r="277">
      <c r="A277" s="1">
        <f>IFERROR(__xludf.DUMMYFUNCTION("""COMPUTED_VALUE"""),686390.0)</f>
        <v>686390</v>
      </c>
      <c r="B277" s="2">
        <f>IFERROR(__xludf.DUMMYFUNCTION("""COMPUTED_VALUE"""),42755.95988817102)</f>
        <v>42755.95989</v>
      </c>
      <c r="C277" s="1" t="str">
        <f>IFERROR(__xludf.DUMMYFUNCTION("""COMPUTED_VALUE"""),"control")</f>
        <v>control</v>
      </c>
      <c r="D277" s="1" t="str">
        <f>IFERROR(__xludf.DUMMYFUNCTION("""COMPUTED_VALUE"""),"old_page")</f>
        <v>old_page</v>
      </c>
      <c r="E277" s="1">
        <f>IFERROR(__xludf.DUMMYFUNCTION("""COMPUTED_VALUE"""),0.0)</f>
        <v>0</v>
      </c>
    </row>
    <row r="278">
      <c r="A278" s="1">
        <f>IFERROR(__xludf.DUMMYFUNCTION("""COMPUTED_VALUE"""),784557.0)</f>
        <v>784557</v>
      </c>
      <c r="B278" s="2">
        <f>IFERROR(__xludf.DUMMYFUNCTION("""COMPUTED_VALUE"""),42739.44422974702)</f>
        <v>42739.44423</v>
      </c>
      <c r="C278" s="1" t="str">
        <f>IFERROR(__xludf.DUMMYFUNCTION("""COMPUTED_VALUE"""),"treatment")</f>
        <v>treatment</v>
      </c>
      <c r="D278" s="1" t="str">
        <f>IFERROR(__xludf.DUMMYFUNCTION("""COMPUTED_VALUE"""),"new_page")</f>
        <v>new_page</v>
      </c>
      <c r="E278" s="1">
        <f>IFERROR(__xludf.DUMMYFUNCTION("""COMPUTED_VALUE"""),0.0)</f>
        <v>0</v>
      </c>
    </row>
    <row r="279">
      <c r="A279" s="1">
        <f>IFERROR(__xludf.DUMMYFUNCTION("""COMPUTED_VALUE"""),801513.0)</f>
        <v>801513</v>
      </c>
      <c r="B279" s="2">
        <f>IFERROR(__xludf.DUMMYFUNCTION("""COMPUTED_VALUE"""),42748.38906340868)</f>
        <v>42748.38906</v>
      </c>
      <c r="C279" s="1" t="str">
        <f>IFERROR(__xludf.DUMMYFUNCTION("""COMPUTED_VALUE"""),"control")</f>
        <v>control</v>
      </c>
      <c r="D279" s="1" t="str">
        <f>IFERROR(__xludf.DUMMYFUNCTION("""COMPUTED_VALUE"""),"old_page")</f>
        <v>old_page</v>
      </c>
      <c r="E279" s="1">
        <f>IFERROR(__xludf.DUMMYFUNCTION("""COMPUTED_VALUE"""),0.0)</f>
        <v>0</v>
      </c>
    </row>
    <row r="280">
      <c r="A280" s="1">
        <f>IFERROR(__xludf.DUMMYFUNCTION("""COMPUTED_VALUE"""),734839.0)</f>
        <v>734839</v>
      </c>
      <c r="B280" s="2">
        <f>IFERROR(__xludf.DUMMYFUNCTION("""COMPUTED_VALUE"""),42748.29653975168)</f>
        <v>42748.29654</v>
      </c>
      <c r="C280" s="1" t="str">
        <f>IFERROR(__xludf.DUMMYFUNCTION("""COMPUTED_VALUE"""),"control")</f>
        <v>control</v>
      </c>
      <c r="D280" s="1" t="str">
        <f>IFERROR(__xludf.DUMMYFUNCTION("""COMPUTED_VALUE"""),"old_page")</f>
        <v>old_page</v>
      </c>
      <c r="E280" s="1">
        <f>IFERROR(__xludf.DUMMYFUNCTION("""COMPUTED_VALUE"""),0.0)</f>
        <v>0</v>
      </c>
    </row>
    <row r="281">
      <c r="A281" s="1">
        <f>IFERROR(__xludf.DUMMYFUNCTION("""COMPUTED_VALUE"""),917943.0)</f>
        <v>917943</v>
      </c>
      <c r="B281" s="2">
        <f>IFERROR(__xludf.DUMMYFUNCTION("""COMPUTED_VALUE"""),42742.11442955008)</f>
        <v>42742.11443</v>
      </c>
      <c r="C281" s="1" t="str">
        <f>IFERROR(__xludf.DUMMYFUNCTION("""COMPUTED_VALUE"""),"control")</f>
        <v>control</v>
      </c>
      <c r="D281" s="1" t="str">
        <f>IFERROR(__xludf.DUMMYFUNCTION("""COMPUTED_VALUE"""),"old_page")</f>
        <v>old_page</v>
      </c>
      <c r="E281" s="1">
        <f>IFERROR(__xludf.DUMMYFUNCTION("""COMPUTED_VALUE"""),0.0)</f>
        <v>0</v>
      </c>
    </row>
    <row r="282">
      <c r="A282" s="1">
        <f>IFERROR(__xludf.DUMMYFUNCTION("""COMPUTED_VALUE"""),788526.0)</f>
        <v>788526</v>
      </c>
      <c r="B282" s="2">
        <f>IFERROR(__xludf.DUMMYFUNCTION("""COMPUTED_VALUE"""),42748.41687964685)</f>
        <v>42748.41688</v>
      </c>
      <c r="C282" s="1" t="str">
        <f>IFERROR(__xludf.DUMMYFUNCTION("""COMPUTED_VALUE"""),"control")</f>
        <v>control</v>
      </c>
      <c r="D282" s="1" t="str">
        <f>IFERROR(__xludf.DUMMYFUNCTION("""COMPUTED_VALUE"""),"old_page")</f>
        <v>old_page</v>
      </c>
      <c r="E282" s="1">
        <f>IFERROR(__xludf.DUMMYFUNCTION("""COMPUTED_VALUE"""),0.0)</f>
        <v>0</v>
      </c>
    </row>
    <row r="283">
      <c r="A283" s="1">
        <f>IFERROR(__xludf.DUMMYFUNCTION("""COMPUTED_VALUE"""),787369.0)</f>
        <v>787369</v>
      </c>
      <c r="B283" s="2">
        <f>IFERROR(__xludf.DUMMYFUNCTION("""COMPUTED_VALUE"""),42752.09840049516)</f>
        <v>42752.0984</v>
      </c>
      <c r="C283" s="1" t="str">
        <f>IFERROR(__xludf.DUMMYFUNCTION("""COMPUTED_VALUE"""),"control")</f>
        <v>control</v>
      </c>
      <c r="D283" s="1" t="str">
        <f>IFERROR(__xludf.DUMMYFUNCTION("""COMPUTED_VALUE"""),"old_page")</f>
        <v>old_page</v>
      </c>
      <c r="E283" s="1">
        <f>IFERROR(__xludf.DUMMYFUNCTION("""COMPUTED_VALUE"""),0.0)</f>
        <v>0</v>
      </c>
    </row>
    <row r="284">
      <c r="A284" s="1">
        <f>IFERROR(__xludf.DUMMYFUNCTION("""COMPUTED_VALUE"""),917603.0)</f>
        <v>917603</v>
      </c>
      <c r="B284" s="2">
        <f>IFERROR(__xludf.DUMMYFUNCTION("""COMPUTED_VALUE"""),42743.52427103094)</f>
        <v>42743.52427</v>
      </c>
      <c r="C284" s="1" t="str">
        <f>IFERROR(__xludf.DUMMYFUNCTION("""COMPUTED_VALUE"""),"treatment")</f>
        <v>treatment</v>
      </c>
      <c r="D284" s="1" t="str">
        <f>IFERROR(__xludf.DUMMYFUNCTION("""COMPUTED_VALUE"""),"new_page")</f>
        <v>new_page</v>
      </c>
      <c r="E284" s="1">
        <f>IFERROR(__xludf.DUMMYFUNCTION("""COMPUTED_VALUE"""),1.0)</f>
        <v>1</v>
      </c>
    </row>
    <row r="285">
      <c r="A285" s="1">
        <f>IFERROR(__xludf.DUMMYFUNCTION("""COMPUTED_VALUE"""),798838.0)</f>
        <v>798838</v>
      </c>
      <c r="B285" s="2">
        <f>IFERROR(__xludf.DUMMYFUNCTION("""COMPUTED_VALUE"""),42753.17854188824)</f>
        <v>42753.17854</v>
      </c>
      <c r="C285" s="1" t="str">
        <f>IFERROR(__xludf.DUMMYFUNCTION("""COMPUTED_VALUE"""),"control")</f>
        <v>control</v>
      </c>
      <c r="D285" s="1" t="str">
        <f>IFERROR(__xludf.DUMMYFUNCTION("""COMPUTED_VALUE"""),"old_page")</f>
        <v>old_page</v>
      </c>
      <c r="E285" s="1">
        <f>IFERROR(__xludf.DUMMYFUNCTION("""COMPUTED_VALUE"""),0.0)</f>
        <v>0</v>
      </c>
    </row>
    <row r="286">
      <c r="A286" s="1">
        <f>IFERROR(__xludf.DUMMYFUNCTION("""COMPUTED_VALUE"""),839049.0)</f>
        <v>839049</v>
      </c>
      <c r="B286" s="2">
        <f>IFERROR(__xludf.DUMMYFUNCTION("""COMPUTED_VALUE"""),42752.3475605216)</f>
        <v>42752.34756</v>
      </c>
      <c r="C286" s="1" t="str">
        <f>IFERROR(__xludf.DUMMYFUNCTION("""COMPUTED_VALUE"""),"treatment")</f>
        <v>treatment</v>
      </c>
      <c r="D286" s="1" t="str">
        <f>IFERROR(__xludf.DUMMYFUNCTION("""COMPUTED_VALUE"""),"new_page")</f>
        <v>new_page</v>
      </c>
      <c r="E286" s="1">
        <f>IFERROR(__xludf.DUMMYFUNCTION("""COMPUTED_VALUE"""),1.0)</f>
        <v>1</v>
      </c>
    </row>
    <row r="287">
      <c r="A287" s="1">
        <f>IFERROR(__xludf.DUMMYFUNCTION("""COMPUTED_VALUE"""),744355.0)</f>
        <v>744355</v>
      </c>
      <c r="B287" s="2">
        <f>IFERROR(__xludf.DUMMYFUNCTION("""COMPUTED_VALUE"""),42742.295530220625)</f>
        <v>42742.29553</v>
      </c>
      <c r="C287" s="1" t="str">
        <f>IFERROR(__xludf.DUMMYFUNCTION("""COMPUTED_VALUE"""),"control")</f>
        <v>control</v>
      </c>
      <c r="D287" s="1" t="str">
        <f>IFERROR(__xludf.DUMMYFUNCTION("""COMPUTED_VALUE"""),"old_page")</f>
        <v>old_page</v>
      </c>
      <c r="E287" s="1">
        <f>IFERROR(__xludf.DUMMYFUNCTION("""COMPUTED_VALUE"""),0.0)</f>
        <v>0</v>
      </c>
    </row>
    <row r="288">
      <c r="A288" s="1">
        <f>IFERROR(__xludf.DUMMYFUNCTION("""COMPUTED_VALUE"""),797845.0)</f>
        <v>797845</v>
      </c>
      <c r="B288" s="2">
        <f>IFERROR(__xludf.DUMMYFUNCTION("""COMPUTED_VALUE"""),42758.38681870313)</f>
        <v>42758.38682</v>
      </c>
      <c r="C288" s="1" t="str">
        <f>IFERROR(__xludf.DUMMYFUNCTION("""COMPUTED_VALUE"""),"control")</f>
        <v>control</v>
      </c>
      <c r="D288" s="1" t="str">
        <f>IFERROR(__xludf.DUMMYFUNCTION("""COMPUTED_VALUE"""),"old_page")</f>
        <v>old_page</v>
      </c>
      <c r="E288" s="1">
        <f>IFERROR(__xludf.DUMMYFUNCTION("""COMPUTED_VALUE"""),1.0)</f>
        <v>1</v>
      </c>
    </row>
    <row r="289">
      <c r="A289" s="1">
        <f>IFERROR(__xludf.DUMMYFUNCTION("""COMPUTED_VALUE"""),641359.0)</f>
        <v>641359</v>
      </c>
      <c r="B289" s="2">
        <f>IFERROR(__xludf.DUMMYFUNCTION("""COMPUTED_VALUE"""),42744.83071138125)</f>
        <v>42744.83071</v>
      </c>
      <c r="C289" s="1" t="str">
        <f>IFERROR(__xludf.DUMMYFUNCTION("""COMPUTED_VALUE"""),"control")</f>
        <v>control</v>
      </c>
      <c r="D289" s="1" t="str">
        <f>IFERROR(__xludf.DUMMYFUNCTION("""COMPUTED_VALUE"""),"old_page")</f>
        <v>old_page</v>
      </c>
      <c r="E289" s="1">
        <f>IFERROR(__xludf.DUMMYFUNCTION("""COMPUTED_VALUE"""),0.0)</f>
        <v>0</v>
      </c>
    </row>
    <row r="290">
      <c r="A290" s="1">
        <f>IFERROR(__xludf.DUMMYFUNCTION("""COMPUTED_VALUE"""),908149.0)</f>
        <v>908149</v>
      </c>
      <c r="B290" s="2">
        <f>IFERROR(__xludf.DUMMYFUNCTION("""COMPUTED_VALUE"""),42737.65056868427)</f>
        <v>42737.65057</v>
      </c>
      <c r="C290" s="1" t="str">
        <f>IFERROR(__xludf.DUMMYFUNCTION("""COMPUTED_VALUE"""),"control")</f>
        <v>control</v>
      </c>
      <c r="D290" s="1" t="str">
        <f>IFERROR(__xludf.DUMMYFUNCTION("""COMPUTED_VALUE"""),"old_page")</f>
        <v>old_page</v>
      </c>
      <c r="E290" s="1">
        <f>IFERROR(__xludf.DUMMYFUNCTION("""COMPUTED_VALUE"""),0.0)</f>
        <v>0</v>
      </c>
    </row>
    <row r="291">
      <c r="A291" s="1">
        <f>IFERROR(__xludf.DUMMYFUNCTION("""COMPUTED_VALUE"""),723386.0)</f>
        <v>723386</v>
      </c>
      <c r="B291" s="2">
        <f>IFERROR(__xludf.DUMMYFUNCTION("""COMPUTED_VALUE"""),42757.55264831191)</f>
        <v>42757.55265</v>
      </c>
      <c r="C291" s="1" t="str">
        <f>IFERROR(__xludf.DUMMYFUNCTION("""COMPUTED_VALUE"""),"control")</f>
        <v>control</v>
      </c>
      <c r="D291" s="1" t="str">
        <f>IFERROR(__xludf.DUMMYFUNCTION("""COMPUTED_VALUE"""),"old_page")</f>
        <v>old_page</v>
      </c>
      <c r="E291" s="1">
        <f>IFERROR(__xludf.DUMMYFUNCTION("""COMPUTED_VALUE"""),1.0)</f>
        <v>1</v>
      </c>
    </row>
    <row r="292">
      <c r="A292" s="1">
        <f>IFERROR(__xludf.DUMMYFUNCTION("""COMPUTED_VALUE"""),764241.0)</f>
        <v>764241</v>
      </c>
      <c r="B292" s="2">
        <f>IFERROR(__xludf.DUMMYFUNCTION("""COMPUTED_VALUE"""),42740.99042345076)</f>
        <v>42740.99042</v>
      </c>
      <c r="C292" s="1" t="str">
        <f>IFERROR(__xludf.DUMMYFUNCTION("""COMPUTED_VALUE"""),"treatment")</f>
        <v>treatment</v>
      </c>
      <c r="D292" s="1" t="str">
        <f>IFERROR(__xludf.DUMMYFUNCTION("""COMPUTED_VALUE"""),"new_page")</f>
        <v>new_page</v>
      </c>
      <c r="E292" s="1">
        <f>IFERROR(__xludf.DUMMYFUNCTION("""COMPUTED_VALUE"""),1.0)</f>
        <v>1</v>
      </c>
    </row>
    <row r="293">
      <c r="A293" s="1">
        <f>IFERROR(__xludf.DUMMYFUNCTION("""COMPUTED_VALUE"""),724157.0)</f>
        <v>724157</v>
      </c>
      <c r="B293" s="2">
        <f>IFERROR(__xludf.DUMMYFUNCTION("""COMPUTED_VALUE"""),42745.46902825696)</f>
        <v>42745.46903</v>
      </c>
      <c r="C293" s="1" t="str">
        <f>IFERROR(__xludf.DUMMYFUNCTION("""COMPUTED_VALUE"""),"control")</f>
        <v>control</v>
      </c>
      <c r="D293" s="1" t="str">
        <f>IFERROR(__xludf.DUMMYFUNCTION("""COMPUTED_VALUE"""),"old_page")</f>
        <v>old_page</v>
      </c>
      <c r="E293" s="1">
        <f>IFERROR(__xludf.DUMMYFUNCTION("""COMPUTED_VALUE"""),0.0)</f>
        <v>0</v>
      </c>
    </row>
    <row r="294">
      <c r="A294" s="1">
        <f>IFERROR(__xludf.DUMMYFUNCTION("""COMPUTED_VALUE"""),714468.0)</f>
        <v>714468</v>
      </c>
      <c r="B294" s="2">
        <f>IFERROR(__xludf.DUMMYFUNCTION("""COMPUTED_VALUE"""),42759.37097031549)</f>
        <v>42759.37097</v>
      </c>
      <c r="C294" s="1" t="str">
        <f>IFERROR(__xludf.DUMMYFUNCTION("""COMPUTED_VALUE"""),"control")</f>
        <v>control</v>
      </c>
      <c r="D294" s="1" t="str">
        <f>IFERROR(__xludf.DUMMYFUNCTION("""COMPUTED_VALUE"""),"old_page")</f>
        <v>old_page</v>
      </c>
      <c r="E294" s="1">
        <f>IFERROR(__xludf.DUMMYFUNCTION("""COMPUTED_VALUE"""),0.0)</f>
        <v>0</v>
      </c>
    </row>
    <row r="295">
      <c r="A295" s="1">
        <f>IFERROR(__xludf.DUMMYFUNCTION("""COMPUTED_VALUE"""),645900.0)</f>
        <v>645900</v>
      </c>
      <c r="B295" s="2">
        <f>IFERROR(__xludf.DUMMYFUNCTION("""COMPUTED_VALUE"""),42747.641215706564)</f>
        <v>42747.64122</v>
      </c>
      <c r="C295" s="1" t="str">
        <f>IFERROR(__xludf.DUMMYFUNCTION("""COMPUTED_VALUE"""),"treatment")</f>
        <v>treatment</v>
      </c>
      <c r="D295" s="1" t="str">
        <f>IFERROR(__xludf.DUMMYFUNCTION("""COMPUTED_VALUE"""),"new_page")</f>
        <v>new_page</v>
      </c>
      <c r="E295" s="1">
        <f>IFERROR(__xludf.DUMMYFUNCTION("""COMPUTED_VALUE"""),0.0)</f>
        <v>0</v>
      </c>
    </row>
    <row r="296">
      <c r="A296" s="1">
        <f>IFERROR(__xludf.DUMMYFUNCTION("""COMPUTED_VALUE"""),779644.0)</f>
        <v>779644</v>
      </c>
      <c r="B296" s="2">
        <f>IFERROR(__xludf.DUMMYFUNCTION("""COMPUTED_VALUE"""),42756.00037725101)</f>
        <v>42756.00038</v>
      </c>
      <c r="C296" s="1" t="str">
        <f>IFERROR(__xludf.DUMMYFUNCTION("""COMPUTED_VALUE"""),"control")</f>
        <v>control</v>
      </c>
      <c r="D296" s="1" t="str">
        <f>IFERROR(__xludf.DUMMYFUNCTION("""COMPUTED_VALUE"""),"old_page")</f>
        <v>old_page</v>
      </c>
      <c r="E296" s="1">
        <f>IFERROR(__xludf.DUMMYFUNCTION("""COMPUTED_VALUE"""),0.0)</f>
        <v>0</v>
      </c>
    </row>
    <row r="297">
      <c r="A297" s="1">
        <f>IFERROR(__xludf.DUMMYFUNCTION("""COMPUTED_VALUE"""),873853.0)</f>
        <v>873853</v>
      </c>
      <c r="B297" s="2">
        <f>IFERROR(__xludf.DUMMYFUNCTION("""COMPUTED_VALUE"""),42743.691315259835)</f>
        <v>42743.69132</v>
      </c>
      <c r="C297" s="1" t="str">
        <f>IFERROR(__xludf.DUMMYFUNCTION("""COMPUTED_VALUE"""),"treatment")</f>
        <v>treatment</v>
      </c>
      <c r="D297" s="1" t="str">
        <f>IFERROR(__xludf.DUMMYFUNCTION("""COMPUTED_VALUE"""),"new_page")</f>
        <v>new_page</v>
      </c>
      <c r="E297" s="1">
        <f>IFERROR(__xludf.DUMMYFUNCTION("""COMPUTED_VALUE"""),0.0)</f>
        <v>0</v>
      </c>
    </row>
    <row r="298">
      <c r="A298" s="1">
        <f>IFERROR(__xludf.DUMMYFUNCTION("""COMPUTED_VALUE"""),678446.0)</f>
        <v>678446</v>
      </c>
      <c r="B298" s="2">
        <f>IFERROR(__xludf.DUMMYFUNCTION("""COMPUTED_VALUE"""),42739.18504201083)</f>
        <v>42739.18504</v>
      </c>
      <c r="C298" s="1" t="str">
        <f>IFERROR(__xludf.DUMMYFUNCTION("""COMPUTED_VALUE"""),"control")</f>
        <v>control</v>
      </c>
      <c r="D298" s="1" t="str">
        <f>IFERROR(__xludf.DUMMYFUNCTION("""COMPUTED_VALUE"""),"old_page")</f>
        <v>old_page</v>
      </c>
      <c r="E298" s="1">
        <f>IFERROR(__xludf.DUMMYFUNCTION("""COMPUTED_VALUE"""),0.0)</f>
        <v>0</v>
      </c>
    </row>
    <row r="299">
      <c r="A299" s="1">
        <f>IFERROR(__xludf.DUMMYFUNCTION("""COMPUTED_VALUE"""),736807.0)</f>
        <v>736807</v>
      </c>
      <c r="B299" s="2">
        <f>IFERROR(__xludf.DUMMYFUNCTION("""COMPUTED_VALUE"""),42755.80028373551)</f>
        <v>42755.80028</v>
      </c>
      <c r="C299" s="1" t="str">
        <f>IFERROR(__xludf.DUMMYFUNCTION("""COMPUTED_VALUE"""),"treatment")</f>
        <v>treatment</v>
      </c>
      <c r="D299" s="1" t="str">
        <f>IFERROR(__xludf.DUMMYFUNCTION("""COMPUTED_VALUE"""),"new_page")</f>
        <v>new_page</v>
      </c>
      <c r="E299" s="1">
        <f>IFERROR(__xludf.DUMMYFUNCTION("""COMPUTED_VALUE"""),1.0)</f>
        <v>1</v>
      </c>
    </row>
    <row r="300">
      <c r="A300" s="1">
        <f>IFERROR(__xludf.DUMMYFUNCTION("""COMPUTED_VALUE"""),767989.0)</f>
        <v>767989</v>
      </c>
      <c r="B300" s="2">
        <f>IFERROR(__xludf.DUMMYFUNCTION("""COMPUTED_VALUE"""),42738.39311816525)</f>
        <v>42738.39312</v>
      </c>
      <c r="C300" s="1" t="str">
        <f>IFERROR(__xludf.DUMMYFUNCTION("""COMPUTED_VALUE"""),"control")</f>
        <v>control</v>
      </c>
      <c r="D300" s="1" t="str">
        <f>IFERROR(__xludf.DUMMYFUNCTION("""COMPUTED_VALUE"""),"old_page")</f>
        <v>old_page</v>
      </c>
      <c r="E300" s="1">
        <f>IFERROR(__xludf.DUMMYFUNCTION("""COMPUTED_VALUE"""),0.0)</f>
        <v>0</v>
      </c>
    </row>
    <row r="301">
      <c r="A301" s="1">
        <f>IFERROR(__xludf.DUMMYFUNCTION("""COMPUTED_VALUE"""),860788.0)</f>
        <v>860788</v>
      </c>
      <c r="B301" s="2">
        <f>IFERROR(__xludf.DUMMYFUNCTION("""COMPUTED_VALUE"""),42741.093283365495)</f>
        <v>42741.09328</v>
      </c>
      <c r="C301" s="1" t="str">
        <f>IFERROR(__xludf.DUMMYFUNCTION("""COMPUTED_VALUE"""),"control")</f>
        <v>control</v>
      </c>
      <c r="D301" s="1" t="str">
        <f>IFERROR(__xludf.DUMMYFUNCTION("""COMPUTED_VALUE"""),"old_page")</f>
        <v>old_page</v>
      </c>
      <c r="E301" s="1">
        <f>IFERROR(__xludf.DUMMYFUNCTION("""COMPUTED_VALUE"""),0.0)</f>
        <v>0</v>
      </c>
    </row>
    <row r="302">
      <c r="A302" s="1">
        <f>IFERROR(__xludf.DUMMYFUNCTION("""COMPUTED_VALUE"""),790494.0)</f>
        <v>790494</v>
      </c>
      <c r="B302" s="2">
        <f>IFERROR(__xludf.DUMMYFUNCTION("""COMPUTED_VALUE"""),42741.48208119605)</f>
        <v>42741.48208</v>
      </c>
      <c r="C302" s="1" t="str">
        <f>IFERROR(__xludf.DUMMYFUNCTION("""COMPUTED_VALUE"""),"control")</f>
        <v>control</v>
      </c>
      <c r="D302" s="1" t="str">
        <f>IFERROR(__xludf.DUMMYFUNCTION("""COMPUTED_VALUE"""),"old_page")</f>
        <v>old_page</v>
      </c>
      <c r="E302" s="1">
        <f>IFERROR(__xludf.DUMMYFUNCTION("""COMPUTED_VALUE"""),0.0)</f>
        <v>0</v>
      </c>
    </row>
    <row r="303">
      <c r="A303" s="1">
        <f>IFERROR(__xludf.DUMMYFUNCTION("""COMPUTED_VALUE"""),897464.0)</f>
        <v>897464</v>
      </c>
      <c r="B303" s="2">
        <f>IFERROR(__xludf.DUMMYFUNCTION("""COMPUTED_VALUE"""),42741.91285232911)</f>
        <v>42741.91285</v>
      </c>
      <c r="C303" s="1" t="str">
        <f>IFERROR(__xludf.DUMMYFUNCTION("""COMPUTED_VALUE"""),"control")</f>
        <v>control</v>
      </c>
      <c r="D303" s="1" t="str">
        <f>IFERROR(__xludf.DUMMYFUNCTION("""COMPUTED_VALUE"""),"old_page")</f>
        <v>old_page</v>
      </c>
      <c r="E303" s="1">
        <f>IFERROR(__xludf.DUMMYFUNCTION("""COMPUTED_VALUE"""),0.0)</f>
        <v>0</v>
      </c>
    </row>
    <row r="304">
      <c r="A304" s="1">
        <f>IFERROR(__xludf.DUMMYFUNCTION("""COMPUTED_VALUE"""),701308.0)</f>
        <v>701308</v>
      </c>
      <c r="B304" s="2">
        <f>IFERROR(__xludf.DUMMYFUNCTION("""COMPUTED_VALUE"""),42748.23865166196)</f>
        <v>42748.23865</v>
      </c>
      <c r="C304" s="1" t="str">
        <f>IFERROR(__xludf.DUMMYFUNCTION("""COMPUTED_VALUE"""),"control")</f>
        <v>control</v>
      </c>
      <c r="D304" s="1" t="str">
        <f>IFERROR(__xludf.DUMMYFUNCTION("""COMPUTED_VALUE"""),"old_page")</f>
        <v>old_page</v>
      </c>
      <c r="E304" s="1">
        <f>IFERROR(__xludf.DUMMYFUNCTION("""COMPUTED_VALUE"""),0.0)</f>
        <v>0</v>
      </c>
    </row>
    <row r="305">
      <c r="A305" s="1">
        <f>IFERROR(__xludf.DUMMYFUNCTION("""COMPUTED_VALUE"""),753749.0)</f>
        <v>753749</v>
      </c>
      <c r="B305" s="2">
        <f>IFERROR(__xludf.DUMMYFUNCTION("""COMPUTED_VALUE"""),42741.062621456505)</f>
        <v>42741.06262</v>
      </c>
      <c r="C305" s="1" t="str">
        <f>IFERROR(__xludf.DUMMYFUNCTION("""COMPUTED_VALUE"""),"control")</f>
        <v>control</v>
      </c>
      <c r="D305" s="1" t="str">
        <f>IFERROR(__xludf.DUMMYFUNCTION("""COMPUTED_VALUE"""),"old_page")</f>
        <v>old_page</v>
      </c>
      <c r="E305" s="1">
        <f>IFERROR(__xludf.DUMMYFUNCTION("""COMPUTED_VALUE"""),0.0)</f>
        <v>0</v>
      </c>
    </row>
    <row r="306">
      <c r="A306" s="1">
        <f>IFERROR(__xludf.DUMMYFUNCTION("""COMPUTED_VALUE"""),900536.0)</f>
        <v>900536</v>
      </c>
      <c r="B306" s="2">
        <f>IFERROR(__xludf.DUMMYFUNCTION("""COMPUTED_VALUE"""),42740.88299644147)</f>
        <v>42740.883</v>
      </c>
      <c r="C306" s="1" t="str">
        <f>IFERROR(__xludf.DUMMYFUNCTION("""COMPUTED_VALUE"""),"control")</f>
        <v>control</v>
      </c>
      <c r="D306" s="1" t="str">
        <f>IFERROR(__xludf.DUMMYFUNCTION("""COMPUTED_VALUE"""),"old_page")</f>
        <v>old_page</v>
      </c>
      <c r="E306" s="1">
        <f>IFERROR(__xludf.DUMMYFUNCTION("""COMPUTED_VALUE"""),0.0)</f>
        <v>0</v>
      </c>
    </row>
    <row r="307">
      <c r="A307" s="1">
        <f>IFERROR(__xludf.DUMMYFUNCTION("""COMPUTED_VALUE"""),844006.0)</f>
        <v>844006</v>
      </c>
      <c r="B307" s="2">
        <f>IFERROR(__xludf.DUMMYFUNCTION("""COMPUTED_VALUE"""),42754.26387689239)</f>
        <v>42754.26388</v>
      </c>
      <c r="C307" s="1" t="str">
        <f>IFERROR(__xludf.DUMMYFUNCTION("""COMPUTED_VALUE"""),"treatment")</f>
        <v>treatment</v>
      </c>
      <c r="D307" s="1" t="str">
        <f>IFERROR(__xludf.DUMMYFUNCTION("""COMPUTED_VALUE"""),"new_page")</f>
        <v>new_page</v>
      </c>
      <c r="E307" s="1">
        <f>IFERROR(__xludf.DUMMYFUNCTION("""COMPUTED_VALUE"""),0.0)</f>
        <v>0</v>
      </c>
    </row>
    <row r="308">
      <c r="A308" s="1">
        <f>IFERROR(__xludf.DUMMYFUNCTION("""COMPUTED_VALUE"""),827871.0)</f>
        <v>827871</v>
      </c>
      <c r="B308" s="2">
        <f>IFERROR(__xludf.DUMMYFUNCTION("""COMPUTED_VALUE"""),42741.96271253573)</f>
        <v>42741.96271</v>
      </c>
      <c r="C308" s="1" t="str">
        <f>IFERROR(__xludf.DUMMYFUNCTION("""COMPUTED_VALUE"""),"control")</f>
        <v>control</v>
      </c>
      <c r="D308" s="1" t="str">
        <f>IFERROR(__xludf.DUMMYFUNCTION("""COMPUTED_VALUE"""),"old_page")</f>
        <v>old_page</v>
      </c>
      <c r="E308" s="1">
        <f>IFERROR(__xludf.DUMMYFUNCTION("""COMPUTED_VALUE"""),1.0)</f>
        <v>1</v>
      </c>
    </row>
    <row r="309">
      <c r="A309" s="1">
        <f>IFERROR(__xludf.DUMMYFUNCTION("""COMPUTED_VALUE"""),690462.0)</f>
        <v>690462</v>
      </c>
      <c r="B309" s="2">
        <f>IFERROR(__xludf.DUMMYFUNCTION("""COMPUTED_VALUE"""),42742.20924972243)</f>
        <v>42742.20925</v>
      </c>
      <c r="C309" s="1" t="str">
        <f>IFERROR(__xludf.DUMMYFUNCTION("""COMPUTED_VALUE"""),"control")</f>
        <v>control</v>
      </c>
      <c r="D309" s="1" t="str">
        <f>IFERROR(__xludf.DUMMYFUNCTION("""COMPUTED_VALUE"""),"old_page")</f>
        <v>old_page</v>
      </c>
      <c r="E309" s="1">
        <f>IFERROR(__xludf.DUMMYFUNCTION("""COMPUTED_VALUE"""),0.0)</f>
        <v>0</v>
      </c>
    </row>
    <row r="310">
      <c r="A310" s="1">
        <f>IFERROR(__xludf.DUMMYFUNCTION("""COMPUTED_VALUE"""),857184.0)</f>
        <v>857184</v>
      </c>
      <c r="B310" s="2">
        <f>IFERROR(__xludf.DUMMYFUNCTION("""COMPUTED_VALUE"""),42755.315970285024)</f>
        <v>42755.31597</v>
      </c>
      <c r="C310" s="1" t="str">
        <f>IFERROR(__xludf.DUMMYFUNCTION("""COMPUTED_VALUE"""),"treatment")</f>
        <v>treatment</v>
      </c>
      <c r="D310" s="1" t="str">
        <f>IFERROR(__xludf.DUMMYFUNCTION("""COMPUTED_VALUE"""),"old_page")</f>
        <v>old_page</v>
      </c>
      <c r="E310" s="1">
        <f>IFERROR(__xludf.DUMMYFUNCTION("""COMPUTED_VALUE"""),0.0)</f>
        <v>0</v>
      </c>
    </row>
    <row r="311">
      <c r="A311" s="1">
        <f>IFERROR(__xludf.DUMMYFUNCTION("""COMPUTED_VALUE"""),799446.0)</f>
        <v>799446</v>
      </c>
      <c r="B311" s="2">
        <f>IFERROR(__xludf.DUMMYFUNCTION("""COMPUTED_VALUE"""),42747.09890135036)</f>
        <v>42747.0989</v>
      </c>
      <c r="C311" s="1" t="str">
        <f>IFERROR(__xludf.DUMMYFUNCTION("""COMPUTED_VALUE"""),"control")</f>
        <v>control</v>
      </c>
      <c r="D311" s="1" t="str">
        <f>IFERROR(__xludf.DUMMYFUNCTION("""COMPUTED_VALUE"""),"old_page")</f>
        <v>old_page</v>
      </c>
      <c r="E311" s="1">
        <f>IFERROR(__xludf.DUMMYFUNCTION("""COMPUTED_VALUE"""),0.0)</f>
        <v>0</v>
      </c>
    </row>
    <row r="312">
      <c r="A312" s="1">
        <f>IFERROR(__xludf.DUMMYFUNCTION("""COMPUTED_VALUE"""),926034.0)</f>
        <v>926034</v>
      </c>
      <c r="B312" s="2">
        <f>IFERROR(__xludf.DUMMYFUNCTION("""COMPUTED_VALUE"""),42748.168336153925)</f>
        <v>42748.16834</v>
      </c>
      <c r="C312" s="1" t="str">
        <f>IFERROR(__xludf.DUMMYFUNCTION("""COMPUTED_VALUE"""),"control")</f>
        <v>control</v>
      </c>
      <c r="D312" s="1" t="str">
        <f>IFERROR(__xludf.DUMMYFUNCTION("""COMPUTED_VALUE"""),"old_page")</f>
        <v>old_page</v>
      </c>
      <c r="E312" s="1">
        <f>IFERROR(__xludf.DUMMYFUNCTION("""COMPUTED_VALUE"""),0.0)</f>
        <v>0</v>
      </c>
    </row>
    <row r="313">
      <c r="A313" s="1">
        <f>IFERROR(__xludf.DUMMYFUNCTION("""COMPUTED_VALUE"""),862270.0)</f>
        <v>862270</v>
      </c>
      <c r="B313" s="2">
        <f>IFERROR(__xludf.DUMMYFUNCTION("""COMPUTED_VALUE"""),42747.06791718114)</f>
        <v>42747.06792</v>
      </c>
      <c r="C313" s="1" t="str">
        <f>IFERROR(__xludf.DUMMYFUNCTION("""COMPUTED_VALUE"""),"control")</f>
        <v>control</v>
      </c>
      <c r="D313" s="1" t="str">
        <f>IFERROR(__xludf.DUMMYFUNCTION("""COMPUTED_VALUE"""),"old_page")</f>
        <v>old_page</v>
      </c>
      <c r="E313" s="1">
        <f>IFERROR(__xludf.DUMMYFUNCTION("""COMPUTED_VALUE"""),0.0)</f>
        <v>0</v>
      </c>
    </row>
    <row r="314">
      <c r="A314" s="1">
        <f>IFERROR(__xludf.DUMMYFUNCTION("""COMPUTED_VALUE"""),731890.0)</f>
        <v>731890</v>
      </c>
      <c r="B314" s="2">
        <f>IFERROR(__xludf.DUMMYFUNCTION("""COMPUTED_VALUE"""),42743.610033001874)</f>
        <v>42743.61003</v>
      </c>
      <c r="C314" s="1" t="str">
        <f>IFERROR(__xludf.DUMMYFUNCTION("""COMPUTED_VALUE"""),"treatment")</f>
        <v>treatment</v>
      </c>
      <c r="D314" s="1" t="str">
        <f>IFERROR(__xludf.DUMMYFUNCTION("""COMPUTED_VALUE"""),"new_page")</f>
        <v>new_page</v>
      </c>
      <c r="E314" s="1">
        <f>IFERROR(__xludf.DUMMYFUNCTION("""COMPUTED_VALUE"""),0.0)</f>
        <v>0</v>
      </c>
    </row>
    <row r="315">
      <c r="A315" s="1">
        <f>IFERROR(__xludf.DUMMYFUNCTION("""COMPUTED_VALUE"""),674218.0)</f>
        <v>674218</v>
      </c>
      <c r="B315" s="2">
        <f>IFERROR(__xludf.DUMMYFUNCTION("""COMPUTED_VALUE"""),42758.32549580538)</f>
        <v>42758.3255</v>
      </c>
      <c r="C315" s="1" t="str">
        <f>IFERROR(__xludf.DUMMYFUNCTION("""COMPUTED_VALUE"""),"control")</f>
        <v>control</v>
      </c>
      <c r="D315" s="1" t="str">
        <f>IFERROR(__xludf.DUMMYFUNCTION("""COMPUTED_VALUE"""),"old_page")</f>
        <v>old_page</v>
      </c>
      <c r="E315" s="1">
        <f>IFERROR(__xludf.DUMMYFUNCTION("""COMPUTED_VALUE"""),0.0)</f>
        <v>0</v>
      </c>
    </row>
    <row r="316">
      <c r="A316" s="1">
        <f>IFERROR(__xludf.DUMMYFUNCTION("""COMPUTED_VALUE"""),754809.0)</f>
        <v>754809</v>
      </c>
      <c r="B316" s="2">
        <f>IFERROR(__xludf.DUMMYFUNCTION("""COMPUTED_VALUE"""),42746.71991694809)</f>
        <v>42746.71992</v>
      </c>
      <c r="C316" s="1" t="str">
        <f>IFERROR(__xludf.DUMMYFUNCTION("""COMPUTED_VALUE"""),"treatment")</f>
        <v>treatment</v>
      </c>
      <c r="D316" s="1" t="str">
        <f>IFERROR(__xludf.DUMMYFUNCTION("""COMPUTED_VALUE"""),"new_page")</f>
        <v>new_page</v>
      </c>
      <c r="E316" s="1">
        <f>IFERROR(__xludf.DUMMYFUNCTION("""COMPUTED_VALUE"""),0.0)</f>
        <v>0</v>
      </c>
    </row>
    <row r="317">
      <c r="A317" s="1">
        <f>IFERROR(__xludf.DUMMYFUNCTION("""COMPUTED_VALUE"""),888567.0)</f>
        <v>888567</v>
      </c>
      <c r="B317" s="2">
        <f>IFERROR(__xludf.DUMMYFUNCTION("""COMPUTED_VALUE"""),42744.58903919851)</f>
        <v>42744.58904</v>
      </c>
      <c r="C317" s="1" t="str">
        <f>IFERROR(__xludf.DUMMYFUNCTION("""COMPUTED_VALUE"""),"treatment")</f>
        <v>treatment</v>
      </c>
      <c r="D317" s="1" t="str">
        <f>IFERROR(__xludf.DUMMYFUNCTION("""COMPUTED_VALUE"""),"new_page")</f>
        <v>new_page</v>
      </c>
      <c r="E317" s="1">
        <f>IFERROR(__xludf.DUMMYFUNCTION("""COMPUTED_VALUE"""),0.0)</f>
        <v>0</v>
      </c>
    </row>
    <row r="318">
      <c r="A318" s="1">
        <f>IFERROR(__xludf.DUMMYFUNCTION("""COMPUTED_VALUE"""),736792.0)</f>
        <v>736792</v>
      </c>
      <c r="B318" s="2">
        <f>IFERROR(__xludf.DUMMYFUNCTION("""COMPUTED_VALUE"""),42758.830043105576)</f>
        <v>42758.83004</v>
      </c>
      <c r="C318" s="1" t="str">
        <f>IFERROR(__xludf.DUMMYFUNCTION("""COMPUTED_VALUE"""),"treatment")</f>
        <v>treatment</v>
      </c>
      <c r="D318" s="1" t="str">
        <f>IFERROR(__xludf.DUMMYFUNCTION("""COMPUTED_VALUE"""),"new_page")</f>
        <v>new_page</v>
      </c>
      <c r="E318" s="1">
        <f>IFERROR(__xludf.DUMMYFUNCTION("""COMPUTED_VALUE"""),0.0)</f>
        <v>0</v>
      </c>
    </row>
    <row r="319">
      <c r="A319" s="1">
        <f>IFERROR(__xludf.DUMMYFUNCTION("""COMPUTED_VALUE"""),868101.0)</f>
        <v>868101</v>
      </c>
      <c r="B319" s="2">
        <f>IFERROR(__xludf.DUMMYFUNCTION("""COMPUTED_VALUE"""),42755.19921277623)</f>
        <v>42755.19921</v>
      </c>
      <c r="C319" s="1" t="str">
        <f>IFERROR(__xludf.DUMMYFUNCTION("""COMPUTED_VALUE"""),"treatment")</f>
        <v>treatment</v>
      </c>
      <c r="D319" s="1" t="str">
        <f>IFERROR(__xludf.DUMMYFUNCTION("""COMPUTED_VALUE"""),"new_page")</f>
        <v>new_page</v>
      </c>
      <c r="E319" s="1">
        <f>IFERROR(__xludf.DUMMYFUNCTION("""COMPUTED_VALUE"""),0.0)</f>
        <v>0</v>
      </c>
    </row>
    <row r="320">
      <c r="A320" s="1">
        <f>IFERROR(__xludf.DUMMYFUNCTION("""COMPUTED_VALUE"""),655065.0)</f>
        <v>655065</v>
      </c>
      <c r="B320" s="2">
        <f>IFERROR(__xludf.DUMMYFUNCTION("""COMPUTED_VALUE"""),42756.65935586609)</f>
        <v>42756.65936</v>
      </c>
      <c r="C320" s="1" t="str">
        <f>IFERROR(__xludf.DUMMYFUNCTION("""COMPUTED_VALUE"""),"treatment")</f>
        <v>treatment</v>
      </c>
      <c r="D320" s="1" t="str">
        <f>IFERROR(__xludf.DUMMYFUNCTION("""COMPUTED_VALUE"""),"new_page")</f>
        <v>new_page</v>
      </c>
      <c r="E320" s="1">
        <f>IFERROR(__xludf.DUMMYFUNCTION("""COMPUTED_VALUE"""),0.0)</f>
        <v>0</v>
      </c>
    </row>
    <row r="321">
      <c r="A321" s="1">
        <f>IFERROR(__xludf.DUMMYFUNCTION("""COMPUTED_VALUE"""),903822.0)</f>
        <v>903822</v>
      </c>
      <c r="B321" s="2">
        <f>IFERROR(__xludf.DUMMYFUNCTION("""COMPUTED_VALUE"""),42748.494725130906)</f>
        <v>42748.49473</v>
      </c>
      <c r="C321" s="1" t="str">
        <f>IFERROR(__xludf.DUMMYFUNCTION("""COMPUTED_VALUE"""),"treatment")</f>
        <v>treatment</v>
      </c>
      <c r="D321" s="1" t="str">
        <f>IFERROR(__xludf.DUMMYFUNCTION("""COMPUTED_VALUE"""),"new_page")</f>
        <v>new_page</v>
      </c>
      <c r="E321" s="1">
        <f>IFERROR(__xludf.DUMMYFUNCTION("""COMPUTED_VALUE"""),0.0)</f>
        <v>0</v>
      </c>
    </row>
    <row r="322">
      <c r="A322" s="1">
        <f>IFERROR(__xludf.DUMMYFUNCTION("""COMPUTED_VALUE"""),848505.0)</f>
        <v>848505</v>
      </c>
      <c r="B322" s="2">
        <f>IFERROR(__xludf.DUMMYFUNCTION("""COMPUTED_VALUE"""),42750.714114627626)</f>
        <v>42750.71411</v>
      </c>
      <c r="C322" s="1" t="str">
        <f>IFERROR(__xludf.DUMMYFUNCTION("""COMPUTED_VALUE"""),"control")</f>
        <v>control</v>
      </c>
      <c r="D322" s="1" t="str">
        <f>IFERROR(__xludf.DUMMYFUNCTION("""COMPUTED_VALUE"""),"old_page")</f>
        <v>old_page</v>
      </c>
      <c r="E322" s="1">
        <f>IFERROR(__xludf.DUMMYFUNCTION("""COMPUTED_VALUE"""),0.0)</f>
        <v>0</v>
      </c>
    </row>
    <row r="323">
      <c r="A323" s="1">
        <f>IFERROR(__xludf.DUMMYFUNCTION("""COMPUTED_VALUE"""),695154.0)</f>
        <v>695154</v>
      </c>
      <c r="B323" s="2">
        <f>IFERROR(__xludf.DUMMYFUNCTION("""COMPUTED_VALUE"""),42757.21702286686)</f>
        <v>42757.21702</v>
      </c>
      <c r="C323" s="1" t="str">
        <f>IFERROR(__xludf.DUMMYFUNCTION("""COMPUTED_VALUE"""),"treatment")</f>
        <v>treatment</v>
      </c>
      <c r="D323" s="1" t="str">
        <f>IFERROR(__xludf.DUMMYFUNCTION("""COMPUTED_VALUE"""),"new_page")</f>
        <v>new_page</v>
      </c>
      <c r="E323" s="1">
        <f>IFERROR(__xludf.DUMMYFUNCTION("""COMPUTED_VALUE"""),0.0)</f>
        <v>0</v>
      </c>
    </row>
    <row r="324">
      <c r="A324" s="1">
        <f>IFERROR(__xludf.DUMMYFUNCTION("""COMPUTED_VALUE"""),660003.0)</f>
        <v>660003</v>
      </c>
      <c r="B324" s="2">
        <f>IFERROR(__xludf.DUMMYFUNCTION("""COMPUTED_VALUE"""),42739.78861047801)</f>
        <v>42739.78861</v>
      </c>
      <c r="C324" s="1" t="str">
        <f>IFERROR(__xludf.DUMMYFUNCTION("""COMPUTED_VALUE"""),"treatment")</f>
        <v>treatment</v>
      </c>
      <c r="D324" s="1" t="str">
        <f>IFERROR(__xludf.DUMMYFUNCTION("""COMPUTED_VALUE"""),"new_page")</f>
        <v>new_page</v>
      </c>
      <c r="E324" s="1">
        <f>IFERROR(__xludf.DUMMYFUNCTION("""COMPUTED_VALUE"""),0.0)</f>
        <v>0</v>
      </c>
    </row>
    <row r="325">
      <c r="A325" s="1">
        <f>IFERROR(__xludf.DUMMYFUNCTION("""COMPUTED_VALUE"""),844932.0)</f>
        <v>844932</v>
      </c>
      <c r="B325" s="2">
        <f>IFERROR(__xludf.DUMMYFUNCTION("""COMPUTED_VALUE"""),42752.1579410901)</f>
        <v>42752.15794</v>
      </c>
      <c r="C325" s="1" t="str">
        <f>IFERROR(__xludf.DUMMYFUNCTION("""COMPUTED_VALUE"""),"treatment")</f>
        <v>treatment</v>
      </c>
      <c r="D325" s="1" t="str">
        <f>IFERROR(__xludf.DUMMYFUNCTION("""COMPUTED_VALUE"""),"new_page")</f>
        <v>new_page</v>
      </c>
      <c r="E325" s="1">
        <f>IFERROR(__xludf.DUMMYFUNCTION("""COMPUTED_VALUE"""),0.0)</f>
        <v>0</v>
      </c>
    </row>
    <row r="326">
      <c r="A326" s="1">
        <f>IFERROR(__xludf.DUMMYFUNCTION("""COMPUTED_VALUE"""),733359.0)</f>
        <v>733359</v>
      </c>
      <c r="B326" s="2">
        <f>IFERROR(__xludf.DUMMYFUNCTION("""COMPUTED_VALUE"""),42747.47538407324)</f>
        <v>42747.47538</v>
      </c>
      <c r="C326" s="1" t="str">
        <f>IFERROR(__xludf.DUMMYFUNCTION("""COMPUTED_VALUE"""),"treatment")</f>
        <v>treatment</v>
      </c>
      <c r="D326" s="1" t="str">
        <f>IFERROR(__xludf.DUMMYFUNCTION("""COMPUTED_VALUE"""),"new_page")</f>
        <v>new_page</v>
      </c>
      <c r="E326" s="1">
        <f>IFERROR(__xludf.DUMMYFUNCTION("""COMPUTED_VALUE"""),0.0)</f>
        <v>0</v>
      </c>
    </row>
    <row r="327">
      <c r="A327" s="1">
        <f>IFERROR(__xludf.DUMMYFUNCTION("""COMPUTED_VALUE"""),920908.0)</f>
        <v>920908</v>
      </c>
      <c r="B327" s="2">
        <f>IFERROR(__xludf.DUMMYFUNCTION("""COMPUTED_VALUE"""),42750.8904949433)</f>
        <v>42750.89049</v>
      </c>
      <c r="C327" s="1" t="str">
        <f>IFERROR(__xludf.DUMMYFUNCTION("""COMPUTED_VALUE"""),"treatment")</f>
        <v>treatment</v>
      </c>
      <c r="D327" s="1" t="str">
        <f>IFERROR(__xludf.DUMMYFUNCTION("""COMPUTED_VALUE"""),"new_page")</f>
        <v>new_page</v>
      </c>
      <c r="E327" s="1">
        <f>IFERROR(__xludf.DUMMYFUNCTION("""COMPUTED_VALUE"""),1.0)</f>
        <v>1</v>
      </c>
    </row>
    <row r="328">
      <c r="A328" s="1">
        <f>IFERROR(__xludf.DUMMYFUNCTION("""COMPUTED_VALUE"""),775945.0)</f>
        <v>775945</v>
      </c>
      <c r="B328" s="2">
        <f>IFERROR(__xludf.DUMMYFUNCTION("""COMPUTED_VALUE"""),42744.80410426323)</f>
        <v>42744.8041</v>
      </c>
      <c r="C328" s="1" t="str">
        <f>IFERROR(__xludf.DUMMYFUNCTION("""COMPUTED_VALUE"""),"control")</f>
        <v>control</v>
      </c>
      <c r="D328" s="1" t="str">
        <f>IFERROR(__xludf.DUMMYFUNCTION("""COMPUTED_VALUE"""),"old_page")</f>
        <v>old_page</v>
      </c>
      <c r="E328" s="1">
        <f>IFERROR(__xludf.DUMMYFUNCTION("""COMPUTED_VALUE"""),0.0)</f>
        <v>0</v>
      </c>
    </row>
    <row r="329">
      <c r="A329" s="1">
        <f>IFERROR(__xludf.DUMMYFUNCTION("""COMPUTED_VALUE"""),686623.0)</f>
        <v>686623</v>
      </c>
      <c r="B329" s="2">
        <f>IFERROR(__xludf.DUMMYFUNCTION("""COMPUTED_VALUE"""),42744.60186035619)</f>
        <v>42744.60186</v>
      </c>
      <c r="C329" s="1" t="str">
        <f>IFERROR(__xludf.DUMMYFUNCTION("""COMPUTED_VALUE"""),"treatment")</f>
        <v>treatment</v>
      </c>
      <c r="D329" s="1" t="str">
        <f>IFERROR(__xludf.DUMMYFUNCTION("""COMPUTED_VALUE"""),"old_page")</f>
        <v>old_page</v>
      </c>
      <c r="E329" s="1">
        <f>IFERROR(__xludf.DUMMYFUNCTION("""COMPUTED_VALUE"""),0.0)</f>
        <v>0</v>
      </c>
    </row>
    <row r="330">
      <c r="A330" s="1">
        <f>IFERROR(__xludf.DUMMYFUNCTION("""COMPUTED_VALUE"""),726159.0)</f>
        <v>726159</v>
      </c>
      <c r="B330" s="2">
        <f>IFERROR(__xludf.DUMMYFUNCTION("""COMPUTED_VALUE"""),42758.34464788845)</f>
        <v>42758.34465</v>
      </c>
      <c r="C330" s="1" t="str">
        <f>IFERROR(__xludf.DUMMYFUNCTION("""COMPUTED_VALUE"""),"control")</f>
        <v>control</v>
      </c>
      <c r="D330" s="1" t="str">
        <f>IFERROR(__xludf.DUMMYFUNCTION("""COMPUTED_VALUE"""),"old_page")</f>
        <v>old_page</v>
      </c>
      <c r="E330" s="1">
        <f>IFERROR(__xludf.DUMMYFUNCTION("""COMPUTED_VALUE"""),0.0)</f>
        <v>0</v>
      </c>
    </row>
    <row r="331">
      <c r="A331" s="1">
        <f>IFERROR(__xludf.DUMMYFUNCTION("""COMPUTED_VALUE"""),666345.0)</f>
        <v>666345</v>
      </c>
      <c r="B331" s="2">
        <f>IFERROR(__xludf.DUMMYFUNCTION("""COMPUTED_VALUE"""),42748.505937653135)</f>
        <v>42748.50594</v>
      </c>
      <c r="C331" s="1" t="str">
        <f>IFERROR(__xludf.DUMMYFUNCTION("""COMPUTED_VALUE"""),"treatment")</f>
        <v>treatment</v>
      </c>
      <c r="D331" s="1" t="str">
        <f>IFERROR(__xludf.DUMMYFUNCTION("""COMPUTED_VALUE"""),"new_page")</f>
        <v>new_page</v>
      </c>
      <c r="E331" s="1">
        <f>IFERROR(__xludf.DUMMYFUNCTION("""COMPUTED_VALUE"""),0.0)</f>
        <v>0</v>
      </c>
    </row>
    <row r="332">
      <c r="A332" s="1">
        <f>IFERROR(__xludf.DUMMYFUNCTION("""COMPUTED_VALUE"""),942535.0)</f>
        <v>942535</v>
      </c>
      <c r="B332" s="2">
        <f>IFERROR(__xludf.DUMMYFUNCTION("""COMPUTED_VALUE"""),42748.24632743617)</f>
        <v>42748.24633</v>
      </c>
      <c r="C332" s="1" t="str">
        <f>IFERROR(__xludf.DUMMYFUNCTION("""COMPUTED_VALUE"""),"treatment")</f>
        <v>treatment</v>
      </c>
      <c r="D332" s="1" t="str">
        <f>IFERROR(__xludf.DUMMYFUNCTION("""COMPUTED_VALUE"""),"new_page")</f>
        <v>new_page</v>
      </c>
      <c r="E332" s="1">
        <f>IFERROR(__xludf.DUMMYFUNCTION("""COMPUTED_VALUE"""),0.0)</f>
        <v>0</v>
      </c>
    </row>
    <row r="333">
      <c r="A333" s="1">
        <f>IFERROR(__xludf.DUMMYFUNCTION("""COMPUTED_VALUE"""),839955.0)</f>
        <v>839955</v>
      </c>
      <c r="B333" s="2">
        <f>IFERROR(__xludf.DUMMYFUNCTION("""COMPUTED_VALUE"""),42738.013212005186)</f>
        <v>42738.01321</v>
      </c>
      <c r="C333" s="1" t="str">
        <f>IFERROR(__xludf.DUMMYFUNCTION("""COMPUTED_VALUE"""),"treatment")</f>
        <v>treatment</v>
      </c>
      <c r="D333" s="1" t="str">
        <f>IFERROR(__xludf.DUMMYFUNCTION("""COMPUTED_VALUE"""),"new_page")</f>
        <v>new_page</v>
      </c>
      <c r="E333" s="1">
        <f>IFERROR(__xludf.DUMMYFUNCTION("""COMPUTED_VALUE"""),0.0)</f>
        <v>0</v>
      </c>
    </row>
    <row r="334">
      <c r="A334" s="1">
        <f>IFERROR(__xludf.DUMMYFUNCTION("""COMPUTED_VALUE"""),818393.0)</f>
        <v>818393</v>
      </c>
      <c r="B334" s="2">
        <f>IFERROR(__xludf.DUMMYFUNCTION("""COMPUTED_VALUE"""),42754.02645870398)</f>
        <v>42754.02646</v>
      </c>
      <c r="C334" s="1" t="str">
        <f>IFERROR(__xludf.DUMMYFUNCTION("""COMPUTED_VALUE"""),"control")</f>
        <v>control</v>
      </c>
      <c r="D334" s="1" t="str">
        <f>IFERROR(__xludf.DUMMYFUNCTION("""COMPUTED_VALUE"""),"old_page")</f>
        <v>old_page</v>
      </c>
      <c r="E334" s="1">
        <f>IFERROR(__xludf.DUMMYFUNCTION("""COMPUTED_VALUE"""),0.0)</f>
        <v>0</v>
      </c>
    </row>
    <row r="335">
      <c r="A335" s="1">
        <f>IFERROR(__xludf.DUMMYFUNCTION("""COMPUTED_VALUE"""),918711.0)</f>
        <v>918711</v>
      </c>
      <c r="B335" s="2">
        <f>IFERROR(__xludf.DUMMYFUNCTION("""COMPUTED_VALUE"""),42755.50241190355)</f>
        <v>42755.50241</v>
      </c>
      <c r="C335" s="1" t="str">
        <f>IFERROR(__xludf.DUMMYFUNCTION("""COMPUTED_VALUE"""),"treatment")</f>
        <v>treatment</v>
      </c>
      <c r="D335" s="1" t="str">
        <f>IFERROR(__xludf.DUMMYFUNCTION("""COMPUTED_VALUE"""),"new_page")</f>
        <v>new_page</v>
      </c>
      <c r="E335" s="1">
        <f>IFERROR(__xludf.DUMMYFUNCTION("""COMPUTED_VALUE"""),0.0)</f>
        <v>0</v>
      </c>
    </row>
    <row r="336">
      <c r="A336" s="1">
        <f>IFERROR(__xludf.DUMMYFUNCTION("""COMPUTED_VALUE"""),655398.0)</f>
        <v>655398</v>
      </c>
      <c r="B336" s="2">
        <f>IFERROR(__xludf.DUMMYFUNCTION("""COMPUTED_VALUE"""),42748.28696054279)</f>
        <v>42748.28696</v>
      </c>
      <c r="C336" s="1" t="str">
        <f>IFERROR(__xludf.DUMMYFUNCTION("""COMPUTED_VALUE"""),"treatment")</f>
        <v>treatment</v>
      </c>
      <c r="D336" s="1" t="str">
        <f>IFERROR(__xludf.DUMMYFUNCTION("""COMPUTED_VALUE"""),"new_page")</f>
        <v>new_page</v>
      </c>
      <c r="E336" s="1">
        <f>IFERROR(__xludf.DUMMYFUNCTION("""COMPUTED_VALUE"""),0.0)</f>
        <v>0</v>
      </c>
    </row>
    <row r="337">
      <c r="A337" s="1">
        <f>IFERROR(__xludf.DUMMYFUNCTION("""COMPUTED_VALUE"""),873657.0)</f>
        <v>873657</v>
      </c>
      <c r="B337" s="2">
        <f>IFERROR(__xludf.DUMMYFUNCTION("""COMPUTED_VALUE"""),42750.94162112282)</f>
        <v>42750.94162</v>
      </c>
      <c r="C337" s="1" t="str">
        <f>IFERROR(__xludf.DUMMYFUNCTION("""COMPUTED_VALUE"""),"treatment")</f>
        <v>treatment</v>
      </c>
      <c r="D337" s="1" t="str">
        <f>IFERROR(__xludf.DUMMYFUNCTION("""COMPUTED_VALUE"""),"new_page")</f>
        <v>new_page</v>
      </c>
      <c r="E337" s="1">
        <f>IFERROR(__xludf.DUMMYFUNCTION("""COMPUTED_VALUE"""),0.0)</f>
        <v>0</v>
      </c>
    </row>
    <row r="338">
      <c r="A338" s="1">
        <f>IFERROR(__xludf.DUMMYFUNCTION("""COMPUTED_VALUE"""),785130.0)</f>
        <v>785130</v>
      </c>
      <c r="B338" s="2">
        <f>IFERROR(__xludf.DUMMYFUNCTION("""COMPUTED_VALUE"""),42748.29733607288)</f>
        <v>42748.29734</v>
      </c>
      <c r="C338" s="1" t="str">
        <f>IFERROR(__xludf.DUMMYFUNCTION("""COMPUTED_VALUE"""),"control")</f>
        <v>control</v>
      </c>
      <c r="D338" s="1" t="str">
        <f>IFERROR(__xludf.DUMMYFUNCTION("""COMPUTED_VALUE"""),"old_page")</f>
        <v>old_page</v>
      </c>
      <c r="E338" s="1">
        <f>IFERROR(__xludf.DUMMYFUNCTION("""COMPUTED_VALUE"""),0.0)</f>
        <v>0</v>
      </c>
    </row>
    <row r="339">
      <c r="A339" s="1">
        <f>IFERROR(__xludf.DUMMYFUNCTION("""COMPUTED_VALUE"""),875054.0)</f>
        <v>875054</v>
      </c>
      <c r="B339" s="2">
        <f>IFERROR(__xludf.DUMMYFUNCTION("""COMPUTED_VALUE"""),42757.94375965037)</f>
        <v>42757.94376</v>
      </c>
      <c r="C339" s="1" t="str">
        <f>IFERROR(__xludf.DUMMYFUNCTION("""COMPUTED_VALUE"""),"control")</f>
        <v>control</v>
      </c>
      <c r="D339" s="1" t="str">
        <f>IFERROR(__xludf.DUMMYFUNCTION("""COMPUTED_VALUE"""),"old_page")</f>
        <v>old_page</v>
      </c>
      <c r="E339" s="1">
        <f>IFERROR(__xludf.DUMMYFUNCTION("""COMPUTED_VALUE"""),0.0)</f>
        <v>0</v>
      </c>
    </row>
    <row r="340">
      <c r="A340" s="1">
        <f>IFERROR(__xludf.DUMMYFUNCTION("""COMPUTED_VALUE"""),839187.0)</f>
        <v>839187</v>
      </c>
      <c r="B340" s="2">
        <f>IFERROR(__xludf.DUMMYFUNCTION("""COMPUTED_VALUE"""),42741.30933774366)</f>
        <v>42741.30934</v>
      </c>
      <c r="C340" s="1" t="str">
        <f>IFERROR(__xludf.DUMMYFUNCTION("""COMPUTED_VALUE"""),"treatment")</f>
        <v>treatment</v>
      </c>
      <c r="D340" s="1" t="str">
        <f>IFERROR(__xludf.DUMMYFUNCTION("""COMPUTED_VALUE"""),"new_page")</f>
        <v>new_page</v>
      </c>
      <c r="E340" s="1">
        <f>IFERROR(__xludf.DUMMYFUNCTION("""COMPUTED_VALUE"""),0.0)</f>
        <v>0</v>
      </c>
    </row>
    <row r="341">
      <c r="A341" s="1">
        <f>IFERROR(__xludf.DUMMYFUNCTION("""COMPUTED_VALUE"""),757156.0)</f>
        <v>757156</v>
      </c>
      <c r="B341" s="2">
        <f>IFERROR(__xludf.DUMMYFUNCTION("""COMPUTED_VALUE"""),42752.28800184185)</f>
        <v>42752.288</v>
      </c>
      <c r="C341" s="1" t="str">
        <f>IFERROR(__xludf.DUMMYFUNCTION("""COMPUTED_VALUE"""),"control")</f>
        <v>control</v>
      </c>
      <c r="D341" s="1" t="str">
        <f>IFERROR(__xludf.DUMMYFUNCTION("""COMPUTED_VALUE"""),"old_page")</f>
        <v>old_page</v>
      </c>
      <c r="E341" s="1">
        <f>IFERROR(__xludf.DUMMYFUNCTION("""COMPUTED_VALUE"""),0.0)</f>
        <v>0</v>
      </c>
    </row>
    <row r="342">
      <c r="A342" s="1">
        <f>IFERROR(__xludf.DUMMYFUNCTION("""COMPUTED_VALUE"""),671329.0)</f>
        <v>671329</v>
      </c>
      <c r="B342" s="2">
        <f>IFERROR(__xludf.DUMMYFUNCTION("""COMPUTED_VALUE"""),42742.26908084137)</f>
        <v>42742.26908</v>
      </c>
      <c r="C342" s="1" t="str">
        <f>IFERROR(__xludf.DUMMYFUNCTION("""COMPUTED_VALUE"""),"treatment")</f>
        <v>treatment</v>
      </c>
      <c r="D342" s="1" t="str">
        <f>IFERROR(__xludf.DUMMYFUNCTION("""COMPUTED_VALUE"""),"new_page")</f>
        <v>new_page</v>
      </c>
      <c r="E342" s="1">
        <f>IFERROR(__xludf.DUMMYFUNCTION("""COMPUTED_VALUE"""),0.0)</f>
        <v>0</v>
      </c>
    </row>
    <row r="343">
      <c r="A343" s="1">
        <f>IFERROR(__xludf.DUMMYFUNCTION("""COMPUTED_VALUE"""),919729.0)</f>
        <v>919729</v>
      </c>
      <c r="B343" s="2">
        <f>IFERROR(__xludf.DUMMYFUNCTION("""COMPUTED_VALUE"""),42755.366733818424)</f>
        <v>42755.36673</v>
      </c>
      <c r="C343" s="1" t="str">
        <f>IFERROR(__xludf.DUMMYFUNCTION("""COMPUTED_VALUE"""),"treatment")</f>
        <v>treatment</v>
      </c>
      <c r="D343" s="1" t="str">
        <f>IFERROR(__xludf.DUMMYFUNCTION("""COMPUTED_VALUE"""),"new_page")</f>
        <v>new_page</v>
      </c>
      <c r="E343" s="1">
        <f>IFERROR(__xludf.DUMMYFUNCTION("""COMPUTED_VALUE"""),0.0)</f>
        <v>0</v>
      </c>
    </row>
    <row r="344">
      <c r="A344" s="1">
        <f>IFERROR(__xludf.DUMMYFUNCTION("""COMPUTED_VALUE"""),751936.0)</f>
        <v>751936</v>
      </c>
      <c r="B344" s="2">
        <f>IFERROR(__xludf.DUMMYFUNCTION("""COMPUTED_VALUE"""),42745.42265899262)</f>
        <v>42745.42266</v>
      </c>
      <c r="C344" s="1" t="str">
        <f>IFERROR(__xludf.DUMMYFUNCTION("""COMPUTED_VALUE"""),"treatment")</f>
        <v>treatment</v>
      </c>
      <c r="D344" s="1" t="str">
        <f>IFERROR(__xludf.DUMMYFUNCTION("""COMPUTED_VALUE"""),"new_page")</f>
        <v>new_page</v>
      </c>
      <c r="E344" s="1">
        <f>IFERROR(__xludf.DUMMYFUNCTION("""COMPUTED_VALUE"""),0.0)</f>
        <v>0</v>
      </c>
    </row>
    <row r="345">
      <c r="A345" s="1">
        <f>IFERROR(__xludf.DUMMYFUNCTION("""COMPUTED_VALUE"""),757090.0)</f>
        <v>757090</v>
      </c>
      <c r="B345" s="2">
        <f>IFERROR(__xludf.DUMMYFUNCTION("""COMPUTED_VALUE"""),42750.780128343715)</f>
        <v>42750.78013</v>
      </c>
      <c r="C345" s="1" t="str">
        <f>IFERROR(__xludf.DUMMYFUNCTION("""COMPUTED_VALUE"""),"treatment")</f>
        <v>treatment</v>
      </c>
      <c r="D345" s="1" t="str">
        <f>IFERROR(__xludf.DUMMYFUNCTION("""COMPUTED_VALUE"""),"new_page")</f>
        <v>new_page</v>
      </c>
      <c r="E345" s="1">
        <f>IFERROR(__xludf.DUMMYFUNCTION("""COMPUTED_VALUE"""),0.0)</f>
        <v>0</v>
      </c>
    </row>
    <row r="346">
      <c r="A346" s="1">
        <f>IFERROR(__xludf.DUMMYFUNCTION("""COMPUTED_VALUE"""),685788.0)</f>
        <v>685788</v>
      </c>
      <c r="B346" s="2">
        <f>IFERROR(__xludf.DUMMYFUNCTION("""COMPUTED_VALUE"""),42740.56784446293)</f>
        <v>42740.56784</v>
      </c>
      <c r="C346" s="1" t="str">
        <f>IFERROR(__xludf.DUMMYFUNCTION("""COMPUTED_VALUE"""),"treatment")</f>
        <v>treatment</v>
      </c>
      <c r="D346" s="1" t="str">
        <f>IFERROR(__xludf.DUMMYFUNCTION("""COMPUTED_VALUE"""),"new_page")</f>
        <v>new_page</v>
      </c>
      <c r="E346" s="1">
        <f>IFERROR(__xludf.DUMMYFUNCTION("""COMPUTED_VALUE"""),0.0)</f>
        <v>0</v>
      </c>
    </row>
    <row r="347">
      <c r="A347" s="1">
        <f>IFERROR(__xludf.DUMMYFUNCTION("""COMPUTED_VALUE"""),693328.0)</f>
        <v>693328</v>
      </c>
      <c r="B347" s="2">
        <f>IFERROR(__xludf.DUMMYFUNCTION("""COMPUTED_VALUE"""),42748.17664142236)</f>
        <v>42748.17664</v>
      </c>
      <c r="C347" s="1" t="str">
        <f>IFERROR(__xludf.DUMMYFUNCTION("""COMPUTED_VALUE"""),"treatment")</f>
        <v>treatment</v>
      </c>
      <c r="D347" s="1" t="str">
        <f>IFERROR(__xludf.DUMMYFUNCTION("""COMPUTED_VALUE"""),"new_page")</f>
        <v>new_page</v>
      </c>
      <c r="E347" s="1">
        <f>IFERROR(__xludf.DUMMYFUNCTION("""COMPUTED_VALUE"""),0.0)</f>
        <v>0</v>
      </c>
    </row>
    <row r="348">
      <c r="A348" s="1">
        <f>IFERROR(__xludf.DUMMYFUNCTION("""COMPUTED_VALUE"""),917567.0)</f>
        <v>917567</v>
      </c>
      <c r="B348" s="2">
        <f>IFERROR(__xludf.DUMMYFUNCTION("""COMPUTED_VALUE"""),42740.823664166724)</f>
        <v>42740.82366</v>
      </c>
      <c r="C348" s="1" t="str">
        <f>IFERROR(__xludf.DUMMYFUNCTION("""COMPUTED_VALUE"""),"treatment")</f>
        <v>treatment</v>
      </c>
      <c r="D348" s="1" t="str">
        <f>IFERROR(__xludf.DUMMYFUNCTION("""COMPUTED_VALUE"""),"new_page")</f>
        <v>new_page</v>
      </c>
      <c r="E348" s="1">
        <f>IFERROR(__xludf.DUMMYFUNCTION("""COMPUTED_VALUE"""),0.0)</f>
        <v>0</v>
      </c>
    </row>
    <row r="349">
      <c r="A349" s="1">
        <f>IFERROR(__xludf.DUMMYFUNCTION("""COMPUTED_VALUE"""),792577.0)</f>
        <v>792577</v>
      </c>
      <c r="B349" s="2">
        <f>IFERROR(__xludf.DUMMYFUNCTION("""COMPUTED_VALUE"""),42742.081303839375)</f>
        <v>42742.0813</v>
      </c>
      <c r="C349" s="1" t="str">
        <f>IFERROR(__xludf.DUMMYFUNCTION("""COMPUTED_VALUE"""),"control")</f>
        <v>control</v>
      </c>
      <c r="D349" s="1" t="str">
        <f>IFERROR(__xludf.DUMMYFUNCTION("""COMPUTED_VALUE"""),"old_page")</f>
        <v>old_page</v>
      </c>
      <c r="E349" s="1">
        <f>IFERROR(__xludf.DUMMYFUNCTION("""COMPUTED_VALUE"""),1.0)</f>
        <v>1</v>
      </c>
    </row>
    <row r="350">
      <c r="A350" s="1">
        <f>IFERROR(__xludf.DUMMYFUNCTION("""COMPUTED_VALUE"""),647872.0)</f>
        <v>647872</v>
      </c>
      <c r="B350" s="2">
        <f>IFERROR(__xludf.DUMMYFUNCTION("""COMPUTED_VALUE"""),42758.44830542221)</f>
        <v>42758.44831</v>
      </c>
      <c r="C350" s="1" t="str">
        <f>IFERROR(__xludf.DUMMYFUNCTION("""COMPUTED_VALUE"""),"control")</f>
        <v>control</v>
      </c>
      <c r="D350" s="1" t="str">
        <f>IFERROR(__xludf.DUMMYFUNCTION("""COMPUTED_VALUE"""),"old_page")</f>
        <v>old_page</v>
      </c>
      <c r="E350" s="1">
        <f>IFERROR(__xludf.DUMMYFUNCTION("""COMPUTED_VALUE"""),1.0)</f>
        <v>1</v>
      </c>
    </row>
    <row r="351">
      <c r="A351" s="1">
        <f>IFERROR(__xludf.DUMMYFUNCTION("""COMPUTED_VALUE"""),935625.0)</f>
        <v>935625</v>
      </c>
      <c r="B351" s="2">
        <f>IFERROR(__xludf.DUMMYFUNCTION("""COMPUTED_VALUE"""),42746.645748610266)</f>
        <v>42746.64575</v>
      </c>
      <c r="C351" s="1" t="str">
        <f>IFERROR(__xludf.DUMMYFUNCTION("""COMPUTED_VALUE"""),"control")</f>
        <v>control</v>
      </c>
      <c r="D351" s="1" t="str">
        <f>IFERROR(__xludf.DUMMYFUNCTION("""COMPUTED_VALUE"""),"old_page")</f>
        <v>old_page</v>
      </c>
      <c r="E351" s="1">
        <f>IFERROR(__xludf.DUMMYFUNCTION("""COMPUTED_VALUE"""),0.0)</f>
        <v>0</v>
      </c>
    </row>
    <row r="352">
      <c r="A352" s="1">
        <f>IFERROR(__xludf.DUMMYFUNCTION("""COMPUTED_VALUE"""),756055.0)</f>
        <v>756055</v>
      </c>
      <c r="B352" s="2">
        <f>IFERROR(__xludf.DUMMYFUNCTION("""COMPUTED_VALUE"""),42751.47967872206)</f>
        <v>42751.47968</v>
      </c>
      <c r="C352" s="1" t="str">
        <f>IFERROR(__xludf.DUMMYFUNCTION("""COMPUTED_VALUE"""),"treatment")</f>
        <v>treatment</v>
      </c>
      <c r="D352" s="1" t="str">
        <f>IFERROR(__xludf.DUMMYFUNCTION("""COMPUTED_VALUE"""),"new_page")</f>
        <v>new_page</v>
      </c>
      <c r="E352" s="1">
        <f>IFERROR(__xludf.DUMMYFUNCTION("""COMPUTED_VALUE"""),0.0)</f>
        <v>0</v>
      </c>
    </row>
    <row r="353">
      <c r="A353" s="1">
        <f>IFERROR(__xludf.DUMMYFUNCTION("""COMPUTED_VALUE"""),804331.0)</f>
        <v>804331</v>
      </c>
      <c r="B353" s="2">
        <f>IFERROR(__xludf.DUMMYFUNCTION("""COMPUTED_VALUE"""),42749.12345169572)</f>
        <v>42749.12345</v>
      </c>
      <c r="C353" s="1" t="str">
        <f>IFERROR(__xludf.DUMMYFUNCTION("""COMPUTED_VALUE"""),"control")</f>
        <v>control</v>
      </c>
      <c r="D353" s="1" t="str">
        <f>IFERROR(__xludf.DUMMYFUNCTION("""COMPUTED_VALUE"""),"old_page")</f>
        <v>old_page</v>
      </c>
      <c r="E353" s="1">
        <f>IFERROR(__xludf.DUMMYFUNCTION("""COMPUTED_VALUE"""),0.0)</f>
        <v>0</v>
      </c>
    </row>
    <row r="354">
      <c r="A354" s="1">
        <f>IFERROR(__xludf.DUMMYFUNCTION("""COMPUTED_VALUE"""),716968.0)</f>
        <v>716968</v>
      </c>
      <c r="B354" s="2">
        <f>IFERROR(__xludf.DUMMYFUNCTION("""COMPUTED_VALUE"""),42745.10139986144)</f>
        <v>42745.1014</v>
      </c>
      <c r="C354" s="1" t="str">
        <f>IFERROR(__xludf.DUMMYFUNCTION("""COMPUTED_VALUE"""),"control")</f>
        <v>control</v>
      </c>
      <c r="D354" s="1" t="str">
        <f>IFERROR(__xludf.DUMMYFUNCTION("""COMPUTED_VALUE"""),"old_page")</f>
        <v>old_page</v>
      </c>
      <c r="E354" s="1">
        <f>IFERROR(__xludf.DUMMYFUNCTION("""COMPUTED_VALUE"""),0.0)</f>
        <v>0</v>
      </c>
    </row>
    <row r="355">
      <c r="A355" s="1">
        <f>IFERROR(__xludf.DUMMYFUNCTION("""COMPUTED_VALUE"""),876541.0)</f>
        <v>876541</v>
      </c>
      <c r="B355" s="2">
        <f>IFERROR(__xludf.DUMMYFUNCTION("""COMPUTED_VALUE"""),42742.10200311184)</f>
        <v>42742.102</v>
      </c>
      <c r="C355" s="1" t="str">
        <f>IFERROR(__xludf.DUMMYFUNCTION("""COMPUTED_VALUE"""),"treatment")</f>
        <v>treatment</v>
      </c>
      <c r="D355" s="1" t="str">
        <f>IFERROR(__xludf.DUMMYFUNCTION("""COMPUTED_VALUE"""),"new_page")</f>
        <v>new_page</v>
      </c>
      <c r="E355" s="1">
        <f>IFERROR(__xludf.DUMMYFUNCTION("""COMPUTED_VALUE"""),0.0)</f>
        <v>0</v>
      </c>
    </row>
    <row r="356">
      <c r="A356" s="1">
        <f>IFERROR(__xludf.DUMMYFUNCTION("""COMPUTED_VALUE"""),724603.0)</f>
        <v>724603</v>
      </c>
      <c r="B356" s="2">
        <f>IFERROR(__xludf.DUMMYFUNCTION("""COMPUTED_VALUE"""),42749.20383000005)</f>
        <v>42749.20383</v>
      </c>
      <c r="C356" s="1" t="str">
        <f>IFERROR(__xludf.DUMMYFUNCTION("""COMPUTED_VALUE"""),"treatment")</f>
        <v>treatment</v>
      </c>
      <c r="D356" s="1" t="str">
        <f>IFERROR(__xludf.DUMMYFUNCTION("""COMPUTED_VALUE"""),"new_page")</f>
        <v>new_page</v>
      </c>
      <c r="E356" s="1">
        <f>IFERROR(__xludf.DUMMYFUNCTION("""COMPUTED_VALUE"""),0.0)</f>
        <v>0</v>
      </c>
    </row>
    <row r="357">
      <c r="A357" s="1">
        <f>IFERROR(__xludf.DUMMYFUNCTION("""COMPUTED_VALUE"""),817110.0)</f>
        <v>817110</v>
      </c>
      <c r="B357" s="2">
        <f>IFERROR(__xludf.DUMMYFUNCTION("""COMPUTED_VALUE"""),42746.02299591414)</f>
        <v>42746.023</v>
      </c>
      <c r="C357" s="1" t="str">
        <f>IFERROR(__xludf.DUMMYFUNCTION("""COMPUTED_VALUE"""),"treatment")</f>
        <v>treatment</v>
      </c>
      <c r="D357" s="1" t="str">
        <f>IFERROR(__xludf.DUMMYFUNCTION("""COMPUTED_VALUE"""),"new_page")</f>
        <v>new_page</v>
      </c>
      <c r="E357" s="1">
        <f>IFERROR(__xludf.DUMMYFUNCTION("""COMPUTED_VALUE"""),1.0)</f>
        <v>1</v>
      </c>
    </row>
    <row r="358">
      <c r="A358" s="1">
        <f>IFERROR(__xludf.DUMMYFUNCTION("""COMPUTED_VALUE"""),698765.0)</f>
        <v>698765</v>
      </c>
      <c r="B358" s="2">
        <f>IFERROR(__xludf.DUMMYFUNCTION("""COMPUTED_VALUE"""),42749.864681678424)</f>
        <v>42749.86468</v>
      </c>
      <c r="C358" s="1" t="str">
        <f>IFERROR(__xludf.DUMMYFUNCTION("""COMPUTED_VALUE"""),"treatment")</f>
        <v>treatment</v>
      </c>
      <c r="D358" s="1" t="str">
        <f>IFERROR(__xludf.DUMMYFUNCTION("""COMPUTED_VALUE"""),"new_page")</f>
        <v>new_page</v>
      </c>
      <c r="E358" s="1">
        <f>IFERROR(__xludf.DUMMYFUNCTION("""COMPUTED_VALUE"""),0.0)</f>
        <v>0</v>
      </c>
    </row>
    <row r="359">
      <c r="A359" s="1">
        <f>IFERROR(__xludf.DUMMYFUNCTION("""COMPUTED_VALUE"""),856078.0)</f>
        <v>856078</v>
      </c>
      <c r="B359" s="2">
        <f>IFERROR(__xludf.DUMMYFUNCTION("""COMPUTED_VALUE"""),42747.520490218)</f>
        <v>42747.52049</v>
      </c>
      <c r="C359" s="1" t="str">
        <f>IFERROR(__xludf.DUMMYFUNCTION("""COMPUTED_VALUE"""),"treatment")</f>
        <v>treatment</v>
      </c>
      <c r="D359" s="1" t="str">
        <f>IFERROR(__xludf.DUMMYFUNCTION("""COMPUTED_VALUE"""),"old_page")</f>
        <v>old_page</v>
      </c>
      <c r="E359" s="1">
        <f>IFERROR(__xludf.DUMMYFUNCTION("""COMPUTED_VALUE"""),0.0)</f>
        <v>0</v>
      </c>
    </row>
    <row r="360">
      <c r="A360" s="1">
        <f>IFERROR(__xludf.DUMMYFUNCTION("""COMPUTED_VALUE"""),648312.0)</f>
        <v>648312</v>
      </c>
      <c r="B360" s="2">
        <f>IFERROR(__xludf.DUMMYFUNCTION("""COMPUTED_VALUE"""),42753.41580257949)</f>
        <v>42753.4158</v>
      </c>
      <c r="C360" s="1" t="str">
        <f>IFERROR(__xludf.DUMMYFUNCTION("""COMPUTED_VALUE"""),"treatment")</f>
        <v>treatment</v>
      </c>
      <c r="D360" s="1" t="str">
        <f>IFERROR(__xludf.DUMMYFUNCTION("""COMPUTED_VALUE"""),"new_page")</f>
        <v>new_page</v>
      </c>
      <c r="E360" s="1">
        <f>IFERROR(__xludf.DUMMYFUNCTION("""COMPUTED_VALUE"""),1.0)</f>
        <v>1</v>
      </c>
    </row>
    <row r="361">
      <c r="A361" s="1">
        <f>IFERROR(__xludf.DUMMYFUNCTION("""COMPUTED_VALUE"""),826183.0)</f>
        <v>826183</v>
      </c>
      <c r="B361" s="2">
        <f>IFERROR(__xludf.DUMMYFUNCTION("""COMPUTED_VALUE"""),42749.4639088679)</f>
        <v>42749.46391</v>
      </c>
      <c r="C361" s="1" t="str">
        <f>IFERROR(__xludf.DUMMYFUNCTION("""COMPUTED_VALUE"""),"treatment")</f>
        <v>treatment</v>
      </c>
      <c r="D361" s="1" t="str">
        <f>IFERROR(__xludf.DUMMYFUNCTION("""COMPUTED_VALUE"""),"new_page")</f>
        <v>new_page</v>
      </c>
      <c r="E361" s="1">
        <f>IFERROR(__xludf.DUMMYFUNCTION("""COMPUTED_VALUE"""),0.0)</f>
        <v>0</v>
      </c>
    </row>
    <row r="362">
      <c r="A362" s="1">
        <f>IFERROR(__xludf.DUMMYFUNCTION("""COMPUTED_VALUE"""),757878.0)</f>
        <v>757878</v>
      </c>
      <c r="B362" s="2">
        <f>IFERROR(__xludf.DUMMYFUNCTION("""COMPUTED_VALUE"""),42758.917726052394)</f>
        <v>42758.91773</v>
      </c>
      <c r="C362" s="1" t="str">
        <f>IFERROR(__xludf.DUMMYFUNCTION("""COMPUTED_VALUE"""),"treatment")</f>
        <v>treatment</v>
      </c>
      <c r="D362" s="1" t="str">
        <f>IFERROR(__xludf.DUMMYFUNCTION("""COMPUTED_VALUE"""),"new_page")</f>
        <v>new_page</v>
      </c>
      <c r="E362" s="1">
        <f>IFERROR(__xludf.DUMMYFUNCTION("""COMPUTED_VALUE"""),1.0)</f>
        <v>1</v>
      </c>
    </row>
    <row r="363">
      <c r="A363" s="1">
        <f>IFERROR(__xludf.DUMMYFUNCTION("""COMPUTED_VALUE"""),678179.0)</f>
        <v>678179</v>
      </c>
      <c r="B363" s="2">
        <f>IFERROR(__xludf.DUMMYFUNCTION("""COMPUTED_VALUE"""),42743.8904205247)</f>
        <v>42743.89042</v>
      </c>
      <c r="C363" s="1" t="str">
        <f>IFERROR(__xludf.DUMMYFUNCTION("""COMPUTED_VALUE"""),"control")</f>
        <v>control</v>
      </c>
      <c r="D363" s="1" t="str">
        <f>IFERROR(__xludf.DUMMYFUNCTION("""COMPUTED_VALUE"""),"old_page")</f>
        <v>old_page</v>
      </c>
      <c r="E363" s="1">
        <f>IFERROR(__xludf.DUMMYFUNCTION("""COMPUTED_VALUE"""),0.0)</f>
        <v>0</v>
      </c>
    </row>
    <row r="364">
      <c r="A364" s="1">
        <f>IFERROR(__xludf.DUMMYFUNCTION("""COMPUTED_VALUE"""),646145.0)</f>
        <v>646145</v>
      </c>
      <c r="B364" s="2">
        <f>IFERROR(__xludf.DUMMYFUNCTION("""COMPUTED_VALUE"""),42754.52567686942)</f>
        <v>42754.52568</v>
      </c>
      <c r="C364" s="1" t="str">
        <f>IFERROR(__xludf.DUMMYFUNCTION("""COMPUTED_VALUE"""),"control")</f>
        <v>control</v>
      </c>
      <c r="D364" s="1" t="str">
        <f>IFERROR(__xludf.DUMMYFUNCTION("""COMPUTED_VALUE"""),"old_page")</f>
        <v>old_page</v>
      </c>
      <c r="E364" s="1">
        <f>IFERROR(__xludf.DUMMYFUNCTION("""COMPUTED_VALUE"""),0.0)</f>
        <v>0</v>
      </c>
    </row>
    <row r="365">
      <c r="A365" s="1">
        <f>IFERROR(__xludf.DUMMYFUNCTION("""COMPUTED_VALUE"""),651226.0)</f>
        <v>651226</v>
      </c>
      <c r="B365" s="2">
        <f>IFERROR(__xludf.DUMMYFUNCTION("""COMPUTED_VALUE"""),42742.1810303938)</f>
        <v>42742.18103</v>
      </c>
      <c r="C365" s="1" t="str">
        <f>IFERROR(__xludf.DUMMYFUNCTION("""COMPUTED_VALUE"""),"control")</f>
        <v>control</v>
      </c>
      <c r="D365" s="1" t="str">
        <f>IFERROR(__xludf.DUMMYFUNCTION("""COMPUTED_VALUE"""),"old_page")</f>
        <v>old_page</v>
      </c>
      <c r="E365" s="1">
        <f>IFERROR(__xludf.DUMMYFUNCTION("""COMPUTED_VALUE"""),0.0)</f>
        <v>0</v>
      </c>
    </row>
    <row r="366">
      <c r="A366" s="1">
        <f>IFERROR(__xludf.DUMMYFUNCTION("""COMPUTED_VALUE"""),822861.0)</f>
        <v>822861</v>
      </c>
      <c r="B366" s="2">
        <f>IFERROR(__xludf.DUMMYFUNCTION("""COMPUTED_VALUE"""),42745.257299480894)</f>
        <v>42745.2573</v>
      </c>
      <c r="C366" s="1" t="str">
        <f>IFERROR(__xludf.DUMMYFUNCTION("""COMPUTED_VALUE"""),"control")</f>
        <v>control</v>
      </c>
      <c r="D366" s="1" t="str">
        <f>IFERROR(__xludf.DUMMYFUNCTION("""COMPUTED_VALUE"""),"old_page")</f>
        <v>old_page</v>
      </c>
      <c r="E366" s="1">
        <f>IFERROR(__xludf.DUMMYFUNCTION("""COMPUTED_VALUE"""),0.0)</f>
        <v>0</v>
      </c>
    </row>
    <row r="367">
      <c r="A367" s="1">
        <f>IFERROR(__xludf.DUMMYFUNCTION("""COMPUTED_VALUE"""),930106.0)</f>
        <v>930106</v>
      </c>
      <c r="B367" s="2">
        <f>IFERROR(__xludf.DUMMYFUNCTION("""COMPUTED_VALUE"""),42744.2241176669)</f>
        <v>42744.22412</v>
      </c>
      <c r="C367" s="1" t="str">
        <f>IFERROR(__xludf.DUMMYFUNCTION("""COMPUTED_VALUE"""),"treatment")</f>
        <v>treatment</v>
      </c>
      <c r="D367" s="1" t="str">
        <f>IFERROR(__xludf.DUMMYFUNCTION("""COMPUTED_VALUE"""),"new_page")</f>
        <v>new_page</v>
      </c>
      <c r="E367" s="1">
        <f>IFERROR(__xludf.DUMMYFUNCTION("""COMPUTED_VALUE"""),0.0)</f>
        <v>0</v>
      </c>
    </row>
    <row r="368">
      <c r="A368" s="1">
        <f>IFERROR(__xludf.DUMMYFUNCTION("""COMPUTED_VALUE"""),718282.0)</f>
        <v>718282</v>
      </c>
      <c r="B368" s="2">
        <f>IFERROR(__xludf.DUMMYFUNCTION("""COMPUTED_VALUE"""),42742.42452571346)</f>
        <v>42742.42453</v>
      </c>
      <c r="C368" s="1" t="str">
        <f>IFERROR(__xludf.DUMMYFUNCTION("""COMPUTED_VALUE"""),"treatment")</f>
        <v>treatment</v>
      </c>
      <c r="D368" s="1" t="str">
        <f>IFERROR(__xludf.DUMMYFUNCTION("""COMPUTED_VALUE"""),"new_page")</f>
        <v>new_page</v>
      </c>
      <c r="E368" s="1">
        <f>IFERROR(__xludf.DUMMYFUNCTION("""COMPUTED_VALUE"""),0.0)</f>
        <v>0</v>
      </c>
    </row>
    <row r="369">
      <c r="A369" s="1">
        <f>IFERROR(__xludf.DUMMYFUNCTION("""COMPUTED_VALUE"""),730749.0)</f>
        <v>730749</v>
      </c>
      <c r="B369" s="2">
        <f>IFERROR(__xludf.DUMMYFUNCTION("""COMPUTED_VALUE"""),42750.314327950015)</f>
        <v>42750.31433</v>
      </c>
      <c r="C369" s="1" t="str">
        <f>IFERROR(__xludf.DUMMYFUNCTION("""COMPUTED_VALUE"""),"treatment")</f>
        <v>treatment</v>
      </c>
      <c r="D369" s="1" t="str">
        <f>IFERROR(__xludf.DUMMYFUNCTION("""COMPUTED_VALUE"""),"new_page")</f>
        <v>new_page</v>
      </c>
      <c r="E369" s="1">
        <f>IFERROR(__xludf.DUMMYFUNCTION("""COMPUTED_VALUE"""),0.0)</f>
        <v>0</v>
      </c>
    </row>
    <row r="370">
      <c r="A370" s="1">
        <f>IFERROR(__xludf.DUMMYFUNCTION("""COMPUTED_VALUE"""),941594.0)</f>
        <v>941594</v>
      </c>
      <c r="B370" s="2">
        <f>IFERROR(__xludf.DUMMYFUNCTION("""COMPUTED_VALUE"""),42750.38154014646)</f>
        <v>42750.38154</v>
      </c>
      <c r="C370" s="1" t="str">
        <f>IFERROR(__xludf.DUMMYFUNCTION("""COMPUTED_VALUE"""),"treatment")</f>
        <v>treatment</v>
      </c>
      <c r="D370" s="1" t="str">
        <f>IFERROR(__xludf.DUMMYFUNCTION("""COMPUTED_VALUE"""),"new_page")</f>
        <v>new_page</v>
      </c>
      <c r="E370" s="1">
        <f>IFERROR(__xludf.DUMMYFUNCTION("""COMPUTED_VALUE"""),0.0)</f>
        <v>0</v>
      </c>
    </row>
    <row r="371">
      <c r="A371" s="1">
        <f>IFERROR(__xludf.DUMMYFUNCTION("""COMPUTED_VALUE"""),675431.0)</f>
        <v>675431</v>
      </c>
      <c r="B371" s="2">
        <f>IFERROR(__xludf.DUMMYFUNCTION("""COMPUTED_VALUE"""),42742.811211741595)</f>
        <v>42742.81121</v>
      </c>
      <c r="C371" s="1" t="str">
        <f>IFERROR(__xludf.DUMMYFUNCTION("""COMPUTED_VALUE"""),"control")</f>
        <v>control</v>
      </c>
      <c r="D371" s="1" t="str">
        <f>IFERROR(__xludf.DUMMYFUNCTION("""COMPUTED_VALUE"""),"old_page")</f>
        <v>old_page</v>
      </c>
      <c r="E371" s="1">
        <f>IFERROR(__xludf.DUMMYFUNCTION("""COMPUTED_VALUE"""),0.0)</f>
        <v>0</v>
      </c>
    </row>
    <row r="372">
      <c r="A372" s="1">
        <f>IFERROR(__xludf.DUMMYFUNCTION("""COMPUTED_VALUE"""),682689.0)</f>
        <v>682689</v>
      </c>
      <c r="B372" s="2">
        <f>IFERROR(__xludf.DUMMYFUNCTION("""COMPUTED_VALUE"""),42739.2081475762)</f>
        <v>42739.20815</v>
      </c>
      <c r="C372" s="1" t="str">
        <f>IFERROR(__xludf.DUMMYFUNCTION("""COMPUTED_VALUE"""),"control")</f>
        <v>control</v>
      </c>
      <c r="D372" s="1" t="str">
        <f>IFERROR(__xludf.DUMMYFUNCTION("""COMPUTED_VALUE"""),"old_page")</f>
        <v>old_page</v>
      </c>
      <c r="E372" s="1">
        <f>IFERROR(__xludf.DUMMYFUNCTION("""COMPUTED_VALUE"""),0.0)</f>
        <v>0</v>
      </c>
    </row>
    <row r="373">
      <c r="A373" s="1">
        <f>IFERROR(__xludf.DUMMYFUNCTION("""COMPUTED_VALUE"""),848404.0)</f>
        <v>848404</v>
      </c>
      <c r="B373" s="2">
        <f>IFERROR(__xludf.DUMMYFUNCTION("""COMPUTED_VALUE"""),42744.44746016104)</f>
        <v>42744.44746</v>
      </c>
      <c r="C373" s="1" t="str">
        <f>IFERROR(__xludf.DUMMYFUNCTION("""COMPUTED_VALUE"""),"control")</f>
        <v>control</v>
      </c>
      <c r="D373" s="1" t="str">
        <f>IFERROR(__xludf.DUMMYFUNCTION("""COMPUTED_VALUE"""),"old_page")</f>
        <v>old_page</v>
      </c>
      <c r="E373" s="1">
        <f>IFERROR(__xludf.DUMMYFUNCTION("""COMPUTED_VALUE"""),0.0)</f>
        <v>0</v>
      </c>
    </row>
    <row r="374">
      <c r="A374" s="1">
        <f>IFERROR(__xludf.DUMMYFUNCTION("""COMPUTED_VALUE"""),668246.0)</f>
        <v>668246</v>
      </c>
      <c r="B374" s="2">
        <f>IFERROR(__xludf.DUMMYFUNCTION("""COMPUTED_VALUE"""),42738.21113814108)</f>
        <v>42738.21114</v>
      </c>
      <c r="C374" s="1" t="str">
        <f>IFERROR(__xludf.DUMMYFUNCTION("""COMPUTED_VALUE"""),"treatment")</f>
        <v>treatment</v>
      </c>
      <c r="D374" s="1" t="str">
        <f>IFERROR(__xludf.DUMMYFUNCTION("""COMPUTED_VALUE"""),"new_page")</f>
        <v>new_page</v>
      </c>
      <c r="E374" s="1">
        <f>IFERROR(__xludf.DUMMYFUNCTION("""COMPUTED_VALUE"""),1.0)</f>
        <v>1</v>
      </c>
    </row>
    <row r="375">
      <c r="A375" s="1">
        <f>IFERROR(__xludf.DUMMYFUNCTION("""COMPUTED_VALUE"""),763692.0)</f>
        <v>763692</v>
      </c>
      <c r="B375" s="2">
        <f>IFERROR(__xludf.DUMMYFUNCTION("""COMPUTED_VALUE"""),42756.38244822013)</f>
        <v>42756.38245</v>
      </c>
      <c r="C375" s="1" t="str">
        <f>IFERROR(__xludf.DUMMYFUNCTION("""COMPUTED_VALUE"""),"control")</f>
        <v>control</v>
      </c>
      <c r="D375" s="1" t="str">
        <f>IFERROR(__xludf.DUMMYFUNCTION("""COMPUTED_VALUE"""),"old_page")</f>
        <v>old_page</v>
      </c>
      <c r="E375" s="1">
        <f>IFERROR(__xludf.DUMMYFUNCTION("""COMPUTED_VALUE"""),0.0)</f>
        <v>0</v>
      </c>
    </row>
    <row r="376">
      <c r="A376" s="1">
        <f>IFERROR(__xludf.DUMMYFUNCTION("""COMPUTED_VALUE"""),679452.0)</f>
        <v>679452</v>
      </c>
      <c r="B376" s="2">
        <f>IFERROR(__xludf.DUMMYFUNCTION("""COMPUTED_VALUE"""),42754.43933813742)</f>
        <v>42754.43934</v>
      </c>
      <c r="C376" s="1" t="str">
        <f>IFERROR(__xludf.DUMMYFUNCTION("""COMPUTED_VALUE"""),"treatment")</f>
        <v>treatment</v>
      </c>
      <c r="D376" s="1" t="str">
        <f>IFERROR(__xludf.DUMMYFUNCTION("""COMPUTED_VALUE"""),"new_page")</f>
        <v>new_page</v>
      </c>
      <c r="E376" s="1">
        <f>IFERROR(__xludf.DUMMYFUNCTION("""COMPUTED_VALUE"""),0.0)</f>
        <v>0</v>
      </c>
    </row>
    <row r="377">
      <c r="A377" s="1">
        <f>IFERROR(__xludf.DUMMYFUNCTION("""COMPUTED_VALUE"""),786347.0)</f>
        <v>786347</v>
      </c>
      <c r="B377" s="2">
        <f>IFERROR(__xludf.DUMMYFUNCTION("""COMPUTED_VALUE"""),42750.089368659734)</f>
        <v>42750.08937</v>
      </c>
      <c r="C377" s="1" t="str">
        <f>IFERROR(__xludf.DUMMYFUNCTION("""COMPUTED_VALUE"""),"control")</f>
        <v>control</v>
      </c>
      <c r="D377" s="1" t="str">
        <f>IFERROR(__xludf.DUMMYFUNCTION("""COMPUTED_VALUE"""),"old_page")</f>
        <v>old_page</v>
      </c>
      <c r="E377" s="1">
        <f>IFERROR(__xludf.DUMMYFUNCTION("""COMPUTED_VALUE"""),0.0)</f>
        <v>0</v>
      </c>
    </row>
    <row r="378">
      <c r="A378" s="1">
        <f>IFERROR(__xludf.DUMMYFUNCTION("""COMPUTED_VALUE"""),641598.0)</f>
        <v>641598</v>
      </c>
      <c r="B378" s="2">
        <f>IFERROR(__xludf.DUMMYFUNCTION("""COMPUTED_VALUE"""),42754.46649665425)</f>
        <v>42754.4665</v>
      </c>
      <c r="C378" s="1" t="str">
        <f>IFERROR(__xludf.DUMMYFUNCTION("""COMPUTED_VALUE"""),"treatment")</f>
        <v>treatment</v>
      </c>
      <c r="D378" s="1" t="str">
        <f>IFERROR(__xludf.DUMMYFUNCTION("""COMPUTED_VALUE"""),"new_page")</f>
        <v>new_page</v>
      </c>
      <c r="E378" s="1">
        <f>IFERROR(__xludf.DUMMYFUNCTION("""COMPUTED_VALUE"""),0.0)</f>
        <v>0</v>
      </c>
    </row>
    <row r="379">
      <c r="A379" s="1">
        <f>IFERROR(__xludf.DUMMYFUNCTION("""COMPUTED_VALUE"""),712462.0)</f>
        <v>712462</v>
      </c>
      <c r="B379" s="2">
        <f>IFERROR(__xludf.DUMMYFUNCTION("""COMPUTED_VALUE"""),42749.6040414244)</f>
        <v>42749.60404</v>
      </c>
      <c r="C379" s="1" t="str">
        <f>IFERROR(__xludf.DUMMYFUNCTION("""COMPUTED_VALUE"""),"control")</f>
        <v>control</v>
      </c>
      <c r="D379" s="1" t="str">
        <f>IFERROR(__xludf.DUMMYFUNCTION("""COMPUTED_VALUE"""),"old_page")</f>
        <v>old_page</v>
      </c>
      <c r="E379" s="1">
        <f>IFERROR(__xludf.DUMMYFUNCTION("""COMPUTED_VALUE"""),0.0)</f>
        <v>0</v>
      </c>
    </row>
    <row r="380">
      <c r="A380" s="1">
        <f>IFERROR(__xludf.DUMMYFUNCTION("""COMPUTED_VALUE"""),689991.0)</f>
        <v>689991</v>
      </c>
      <c r="B380" s="2">
        <f>IFERROR(__xludf.DUMMYFUNCTION("""COMPUTED_VALUE"""),42754.52324471245)</f>
        <v>42754.52324</v>
      </c>
      <c r="C380" s="1" t="str">
        <f>IFERROR(__xludf.DUMMYFUNCTION("""COMPUTED_VALUE"""),"control")</f>
        <v>control</v>
      </c>
      <c r="D380" s="1" t="str">
        <f>IFERROR(__xludf.DUMMYFUNCTION("""COMPUTED_VALUE"""),"old_page")</f>
        <v>old_page</v>
      </c>
      <c r="E380" s="1">
        <f>IFERROR(__xludf.DUMMYFUNCTION("""COMPUTED_VALUE"""),1.0)</f>
        <v>1</v>
      </c>
    </row>
    <row r="381">
      <c r="A381" s="1">
        <f>IFERROR(__xludf.DUMMYFUNCTION("""COMPUTED_VALUE"""),884576.0)</f>
        <v>884576</v>
      </c>
      <c r="B381" s="2">
        <f>IFERROR(__xludf.DUMMYFUNCTION("""COMPUTED_VALUE"""),42753.48349404904)</f>
        <v>42753.48349</v>
      </c>
      <c r="C381" s="1" t="str">
        <f>IFERROR(__xludf.DUMMYFUNCTION("""COMPUTED_VALUE"""),"treatment")</f>
        <v>treatment</v>
      </c>
      <c r="D381" s="1" t="str">
        <f>IFERROR(__xludf.DUMMYFUNCTION("""COMPUTED_VALUE"""),"new_page")</f>
        <v>new_page</v>
      </c>
      <c r="E381" s="1">
        <f>IFERROR(__xludf.DUMMYFUNCTION("""COMPUTED_VALUE"""),0.0)</f>
        <v>0</v>
      </c>
    </row>
    <row r="382">
      <c r="A382" s="1">
        <f>IFERROR(__xludf.DUMMYFUNCTION("""COMPUTED_VALUE"""),703625.0)</f>
        <v>703625</v>
      </c>
      <c r="B382" s="2">
        <f>IFERROR(__xludf.DUMMYFUNCTION("""COMPUTED_VALUE"""),42759.36952814177)</f>
        <v>42759.36953</v>
      </c>
      <c r="C382" s="1" t="str">
        <f>IFERROR(__xludf.DUMMYFUNCTION("""COMPUTED_VALUE"""),"treatment")</f>
        <v>treatment</v>
      </c>
      <c r="D382" s="1" t="str">
        <f>IFERROR(__xludf.DUMMYFUNCTION("""COMPUTED_VALUE"""),"new_page")</f>
        <v>new_page</v>
      </c>
      <c r="E382" s="1">
        <f>IFERROR(__xludf.DUMMYFUNCTION("""COMPUTED_VALUE"""),0.0)</f>
        <v>0</v>
      </c>
    </row>
    <row r="383">
      <c r="A383" s="1">
        <f>IFERROR(__xludf.DUMMYFUNCTION("""COMPUTED_VALUE"""),779677.0)</f>
        <v>779677</v>
      </c>
      <c r="B383" s="2">
        <f>IFERROR(__xludf.DUMMYFUNCTION("""COMPUTED_VALUE"""),42749.525646748996)</f>
        <v>42749.52565</v>
      </c>
      <c r="C383" s="1" t="str">
        <f>IFERROR(__xludf.DUMMYFUNCTION("""COMPUTED_VALUE"""),"treatment")</f>
        <v>treatment</v>
      </c>
      <c r="D383" s="1" t="str">
        <f>IFERROR(__xludf.DUMMYFUNCTION("""COMPUTED_VALUE"""),"new_page")</f>
        <v>new_page</v>
      </c>
      <c r="E383" s="1">
        <f>IFERROR(__xludf.DUMMYFUNCTION("""COMPUTED_VALUE"""),0.0)</f>
        <v>0</v>
      </c>
    </row>
    <row r="384">
      <c r="A384" s="1">
        <f>IFERROR(__xludf.DUMMYFUNCTION("""COMPUTED_VALUE"""),933255.0)</f>
        <v>933255</v>
      </c>
      <c r="B384" s="2">
        <f>IFERROR(__xludf.DUMMYFUNCTION("""COMPUTED_VALUE"""),42749.120663886155)</f>
        <v>42749.12066</v>
      </c>
      <c r="C384" s="1" t="str">
        <f>IFERROR(__xludf.DUMMYFUNCTION("""COMPUTED_VALUE"""),"treatment")</f>
        <v>treatment</v>
      </c>
      <c r="D384" s="1" t="str">
        <f>IFERROR(__xludf.DUMMYFUNCTION("""COMPUTED_VALUE"""),"new_page")</f>
        <v>new_page</v>
      </c>
      <c r="E384" s="1">
        <f>IFERROR(__xludf.DUMMYFUNCTION("""COMPUTED_VALUE"""),0.0)</f>
        <v>0</v>
      </c>
    </row>
    <row r="385">
      <c r="A385" s="1">
        <f>IFERROR(__xludf.DUMMYFUNCTION("""COMPUTED_VALUE"""),808004.0)</f>
        <v>808004</v>
      </c>
      <c r="B385" s="2">
        <f>IFERROR(__xludf.DUMMYFUNCTION("""COMPUTED_VALUE"""),42745.65637242382)</f>
        <v>42745.65637</v>
      </c>
      <c r="C385" s="1" t="str">
        <f>IFERROR(__xludf.DUMMYFUNCTION("""COMPUTED_VALUE"""),"treatment")</f>
        <v>treatment</v>
      </c>
      <c r="D385" s="1" t="str">
        <f>IFERROR(__xludf.DUMMYFUNCTION("""COMPUTED_VALUE"""),"new_page")</f>
        <v>new_page</v>
      </c>
      <c r="E385" s="1">
        <f>IFERROR(__xludf.DUMMYFUNCTION("""COMPUTED_VALUE"""),0.0)</f>
        <v>0</v>
      </c>
    </row>
    <row r="386">
      <c r="A386" s="1">
        <f>IFERROR(__xludf.DUMMYFUNCTION("""COMPUTED_VALUE"""),828056.0)</f>
        <v>828056</v>
      </c>
      <c r="B386" s="2">
        <f>IFERROR(__xludf.DUMMYFUNCTION("""COMPUTED_VALUE"""),42740.975831501375)</f>
        <v>42740.97583</v>
      </c>
      <c r="C386" s="1" t="str">
        <f>IFERROR(__xludf.DUMMYFUNCTION("""COMPUTED_VALUE"""),"treatment")</f>
        <v>treatment</v>
      </c>
      <c r="D386" s="1" t="str">
        <f>IFERROR(__xludf.DUMMYFUNCTION("""COMPUTED_VALUE"""),"new_page")</f>
        <v>new_page</v>
      </c>
      <c r="E386" s="1">
        <f>IFERROR(__xludf.DUMMYFUNCTION("""COMPUTED_VALUE"""),0.0)</f>
        <v>0</v>
      </c>
    </row>
    <row r="387">
      <c r="A387" s="1">
        <f>IFERROR(__xludf.DUMMYFUNCTION("""COMPUTED_VALUE"""),915326.0)</f>
        <v>915326</v>
      </c>
      <c r="B387" s="2">
        <f>IFERROR(__xludf.DUMMYFUNCTION("""COMPUTED_VALUE"""),42759.42257931219)</f>
        <v>42759.42258</v>
      </c>
      <c r="C387" s="1" t="str">
        <f>IFERROR(__xludf.DUMMYFUNCTION("""COMPUTED_VALUE"""),"control")</f>
        <v>control</v>
      </c>
      <c r="D387" s="1" t="str">
        <f>IFERROR(__xludf.DUMMYFUNCTION("""COMPUTED_VALUE"""),"old_page")</f>
        <v>old_page</v>
      </c>
      <c r="E387" s="1">
        <f>IFERROR(__xludf.DUMMYFUNCTION("""COMPUTED_VALUE"""),1.0)</f>
        <v>1</v>
      </c>
    </row>
    <row r="388">
      <c r="A388" s="1">
        <f>IFERROR(__xludf.DUMMYFUNCTION("""COMPUTED_VALUE"""),823519.0)</f>
        <v>823519</v>
      </c>
      <c r="B388" s="2">
        <f>IFERROR(__xludf.DUMMYFUNCTION("""COMPUTED_VALUE"""),42754.771449275024)</f>
        <v>42754.77145</v>
      </c>
      <c r="C388" s="1" t="str">
        <f>IFERROR(__xludf.DUMMYFUNCTION("""COMPUTED_VALUE"""),"control")</f>
        <v>control</v>
      </c>
      <c r="D388" s="1" t="str">
        <f>IFERROR(__xludf.DUMMYFUNCTION("""COMPUTED_VALUE"""),"old_page")</f>
        <v>old_page</v>
      </c>
      <c r="E388" s="1">
        <f>IFERROR(__xludf.DUMMYFUNCTION("""COMPUTED_VALUE"""),0.0)</f>
        <v>0</v>
      </c>
    </row>
    <row r="389">
      <c r="A389" s="1">
        <f>IFERROR(__xludf.DUMMYFUNCTION("""COMPUTED_VALUE"""),786185.0)</f>
        <v>786185</v>
      </c>
      <c r="B389" s="2">
        <f>IFERROR(__xludf.DUMMYFUNCTION("""COMPUTED_VALUE"""),42746.5135987793)</f>
        <v>42746.5136</v>
      </c>
      <c r="C389" s="1" t="str">
        <f>IFERROR(__xludf.DUMMYFUNCTION("""COMPUTED_VALUE"""),"control")</f>
        <v>control</v>
      </c>
      <c r="D389" s="1" t="str">
        <f>IFERROR(__xludf.DUMMYFUNCTION("""COMPUTED_VALUE"""),"old_page")</f>
        <v>old_page</v>
      </c>
      <c r="E389" s="1">
        <f>IFERROR(__xludf.DUMMYFUNCTION("""COMPUTED_VALUE"""),0.0)</f>
        <v>0</v>
      </c>
    </row>
    <row r="390">
      <c r="A390" s="1">
        <f>IFERROR(__xludf.DUMMYFUNCTION("""COMPUTED_VALUE"""),931120.0)</f>
        <v>931120</v>
      </c>
      <c r="B390" s="2">
        <f>IFERROR(__xludf.DUMMYFUNCTION("""COMPUTED_VALUE"""),42741.91901768994)</f>
        <v>42741.91902</v>
      </c>
      <c r="C390" s="1" t="str">
        <f>IFERROR(__xludf.DUMMYFUNCTION("""COMPUTED_VALUE"""),"treatment")</f>
        <v>treatment</v>
      </c>
      <c r="D390" s="1" t="str">
        <f>IFERROR(__xludf.DUMMYFUNCTION("""COMPUTED_VALUE"""),"new_page")</f>
        <v>new_page</v>
      </c>
      <c r="E390" s="1">
        <f>IFERROR(__xludf.DUMMYFUNCTION("""COMPUTED_VALUE"""),1.0)</f>
        <v>1</v>
      </c>
    </row>
    <row r="391">
      <c r="A391" s="1">
        <f>IFERROR(__xludf.DUMMYFUNCTION("""COMPUTED_VALUE"""),767880.0)</f>
        <v>767880</v>
      </c>
      <c r="B391" s="2">
        <f>IFERROR(__xludf.DUMMYFUNCTION("""COMPUTED_VALUE"""),42737.82868481059)</f>
        <v>42737.82868</v>
      </c>
      <c r="C391" s="1" t="str">
        <f>IFERROR(__xludf.DUMMYFUNCTION("""COMPUTED_VALUE"""),"control")</f>
        <v>control</v>
      </c>
      <c r="D391" s="1" t="str">
        <f>IFERROR(__xludf.DUMMYFUNCTION("""COMPUTED_VALUE"""),"old_page")</f>
        <v>old_page</v>
      </c>
      <c r="E391" s="1">
        <f>IFERROR(__xludf.DUMMYFUNCTION("""COMPUTED_VALUE"""),0.0)</f>
        <v>0</v>
      </c>
    </row>
    <row r="392">
      <c r="A392" s="1">
        <f>IFERROR(__xludf.DUMMYFUNCTION("""COMPUTED_VALUE"""),829119.0)</f>
        <v>829119</v>
      </c>
      <c r="B392" s="2">
        <f>IFERROR(__xludf.DUMMYFUNCTION("""COMPUTED_VALUE"""),42738.54016441993)</f>
        <v>42738.54016</v>
      </c>
      <c r="C392" s="1" t="str">
        <f>IFERROR(__xludf.DUMMYFUNCTION("""COMPUTED_VALUE"""),"control")</f>
        <v>control</v>
      </c>
      <c r="D392" s="1" t="str">
        <f>IFERROR(__xludf.DUMMYFUNCTION("""COMPUTED_VALUE"""),"old_page")</f>
        <v>old_page</v>
      </c>
      <c r="E392" s="1">
        <f>IFERROR(__xludf.DUMMYFUNCTION("""COMPUTED_VALUE"""),0.0)</f>
        <v>0</v>
      </c>
    </row>
    <row r="393">
      <c r="A393" s="1">
        <f>IFERROR(__xludf.DUMMYFUNCTION("""COMPUTED_VALUE"""),733432.0)</f>
        <v>733432</v>
      </c>
      <c r="B393" s="2">
        <f>IFERROR(__xludf.DUMMYFUNCTION("""COMPUTED_VALUE"""),42755.91350448701)</f>
        <v>42755.9135</v>
      </c>
      <c r="C393" s="1" t="str">
        <f>IFERROR(__xludf.DUMMYFUNCTION("""COMPUTED_VALUE"""),"treatment")</f>
        <v>treatment</v>
      </c>
      <c r="D393" s="1" t="str">
        <f>IFERROR(__xludf.DUMMYFUNCTION("""COMPUTED_VALUE"""),"new_page")</f>
        <v>new_page</v>
      </c>
      <c r="E393" s="1">
        <f>IFERROR(__xludf.DUMMYFUNCTION("""COMPUTED_VALUE"""),0.0)</f>
        <v>0</v>
      </c>
    </row>
    <row r="394">
      <c r="A394" s="1">
        <f>IFERROR(__xludf.DUMMYFUNCTION("""COMPUTED_VALUE"""),851848.0)</f>
        <v>851848</v>
      </c>
      <c r="B394" s="2">
        <f>IFERROR(__xludf.DUMMYFUNCTION("""COMPUTED_VALUE"""),42744.70975822943)</f>
        <v>42744.70976</v>
      </c>
      <c r="C394" s="1" t="str">
        <f>IFERROR(__xludf.DUMMYFUNCTION("""COMPUTED_VALUE"""),"treatment")</f>
        <v>treatment</v>
      </c>
      <c r="D394" s="1" t="str">
        <f>IFERROR(__xludf.DUMMYFUNCTION("""COMPUTED_VALUE"""),"new_page")</f>
        <v>new_page</v>
      </c>
      <c r="E394" s="1">
        <f>IFERROR(__xludf.DUMMYFUNCTION("""COMPUTED_VALUE"""),1.0)</f>
        <v>1</v>
      </c>
    </row>
    <row r="395">
      <c r="A395" s="1">
        <f>IFERROR(__xludf.DUMMYFUNCTION("""COMPUTED_VALUE"""),836662.0)</f>
        <v>836662</v>
      </c>
      <c r="B395" s="2">
        <f>IFERROR(__xludf.DUMMYFUNCTION("""COMPUTED_VALUE"""),42753.486948014295)</f>
        <v>42753.48695</v>
      </c>
      <c r="C395" s="1" t="str">
        <f>IFERROR(__xludf.DUMMYFUNCTION("""COMPUTED_VALUE"""),"treatment")</f>
        <v>treatment</v>
      </c>
      <c r="D395" s="1" t="str">
        <f>IFERROR(__xludf.DUMMYFUNCTION("""COMPUTED_VALUE"""),"new_page")</f>
        <v>new_page</v>
      </c>
      <c r="E395" s="1">
        <f>IFERROR(__xludf.DUMMYFUNCTION("""COMPUTED_VALUE"""),0.0)</f>
        <v>0</v>
      </c>
    </row>
    <row r="396">
      <c r="A396" s="1">
        <f>IFERROR(__xludf.DUMMYFUNCTION("""COMPUTED_VALUE"""),770453.0)</f>
        <v>770453</v>
      </c>
      <c r="B396" s="2">
        <f>IFERROR(__xludf.DUMMYFUNCTION("""COMPUTED_VALUE"""),42739.0525186088)</f>
        <v>42739.05252</v>
      </c>
      <c r="C396" s="1" t="str">
        <f>IFERROR(__xludf.DUMMYFUNCTION("""COMPUTED_VALUE"""),"treatment")</f>
        <v>treatment</v>
      </c>
      <c r="D396" s="1" t="str">
        <f>IFERROR(__xludf.DUMMYFUNCTION("""COMPUTED_VALUE"""),"new_page")</f>
        <v>new_page</v>
      </c>
      <c r="E396" s="1">
        <f>IFERROR(__xludf.DUMMYFUNCTION("""COMPUTED_VALUE"""),0.0)</f>
        <v>0</v>
      </c>
    </row>
    <row r="397">
      <c r="A397" s="1">
        <f>IFERROR(__xludf.DUMMYFUNCTION("""COMPUTED_VALUE"""),676481.0)</f>
        <v>676481</v>
      </c>
      <c r="B397" s="2">
        <f>IFERROR(__xludf.DUMMYFUNCTION("""COMPUTED_VALUE"""),42758.59667270081)</f>
        <v>42758.59667</v>
      </c>
      <c r="C397" s="1" t="str">
        <f>IFERROR(__xludf.DUMMYFUNCTION("""COMPUTED_VALUE"""),"treatment")</f>
        <v>treatment</v>
      </c>
      <c r="D397" s="1" t="str">
        <f>IFERROR(__xludf.DUMMYFUNCTION("""COMPUTED_VALUE"""),"new_page")</f>
        <v>new_page</v>
      </c>
      <c r="E397" s="1">
        <f>IFERROR(__xludf.DUMMYFUNCTION("""COMPUTED_VALUE"""),1.0)</f>
        <v>1</v>
      </c>
    </row>
    <row r="398">
      <c r="A398" s="1">
        <f>IFERROR(__xludf.DUMMYFUNCTION("""COMPUTED_VALUE"""),695994.0)</f>
        <v>695994</v>
      </c>
      <c r="B398" s="2">
        <f>IFERROR(__xludf.DUMMYFUNCTION("""COMPUTED_VALUE"""),42758.4129194644)</f>
        <v>42758.41292</v>
      </c>
      <c r="C398" s="1" t="str">
        <f>IFERROR(__xludf.DUMMYFUNCTION("""COMPUTED_VALUE"""),"treatment")</f>
        <v>treatment</v>
      </c>
      <c r="D398" s="1" t="str">
        <f>IFERROR(__xludf.DUMMYFUNCTION("""COMPUTED_VALUE"""),"new_page")</f>
        <v>new_page</v>
      </c>
      <c r="E398" s="1">
        <f>IFERROR(__xludf.DUMMYFUNCTION("""COMPUTED_VALUE"""),0.0)</f>
        <v>0</v>
      </c>
    </row>
    <row r="399">
      <c r="A399" s="1">
        <f>IFERROR(__xludf.DUMMYFUNCTION("""COMPUTED_VALUE"""),690689.0)</f>
        <v>690689</v>
      </c>
      <c r="B399" s="2">
        <f>IFERROR(__xludf.DUMMYFUNCTION("""COMPUTED_VALUE"""),42748.98888405884)</f>
        <v>42748.98888</v>
      </c>
      <c r="C399" s="1" t="str">
        <f>IFERROR(__xludf.DUMMYFUNCTION("""COMPUTED_VALUE"""),"treatment")</f>
        <v>treatment</v>
      </c>
      <c r="D399" s="1" t="str">
        <f>IFERROR(__xludf.DUMMYFUNCTION("""COMPUTED_VALUE"""),"new_page")</f>
        <v>new_page</v>
      </c>
      <c r="E399" s="1">
        <f>IFERROR(__xludf.DUMMYFUNCTION("""COMPUTED_VALUE"""),0.0)</f>
        <v>0</v>
      </c>
    </row>
    <row r="400">
      <c r="A400" s="1">
        <f>IFERROR(__xludf.DUMMYFUNCTION("""COMPUTED_VALUE"""),717394.0)</f>
        <v>717394</v>
      </c>
      <c r="B400" s="2">
        <f>IFERROR(__xludf.DUMMYFUNCTION("""COMPUTED_VALUE"""),42745.20005073726)</f>
        <v>42745.20005</v>
      </c>
      <c r="C400" s="1" t="str">
        <f>IFERROR(__xludf.DUMMYFUNCTION("""COMPUTED_VALUE"""),"treatment")</f>
        <v>treatment</v>
      </c>
      <c r="D400" s="1" t="str">
        <f>IFERROR(__xludf.DUMMYFUNCTION("""COMPUTED_VALUE"""),"new_page")</f>
        <v>new_page</v>
      </c>
      <c r="E400" s="1">
        <f>IFERROR(__xludf.DUMMYFUNCTION("""COMPUTED_VALUE"""),0.0)</f>
        <v>0</v>
      </c>
    </row>
    <row r="401">
      <c r="A401" s="1">
        <f>IFERROR(__xludf.DUMMYFUNCTION("""COMPUTED_VALUE"""),863758.0)</f>
        <v>863758</v>
      </c>
      <c r="B401" s="2">
        <f>IFERROR(__xludf.DUMMYFUNCTION("""COMPUTED_VALUE"""),42747.08703384486)</f>
        <v>42747.08703</v>
      </c>
      <c r="C401" s="1" t="str">
        <f>IFERROR(__xludf.DUMMYFUNCTION("""COMPUTED_VALUE"""),"control")</f>
        <v>control</v>
      </c>
      <c r="D401" s="1" t="str">
        <f>IFERROR(__xludf.DUMMYFUNCTION("""COMPUTED_VALUE"""),"old_page")</f>
        <v>old_page</v>
      </c>
      <c r="E401" s="1">
        <f>IFERROR(__xludf.DUMMYFUNCTION("""COMPUTED_VALUE"""),0.0)</f>
        <v>0</v>
      </c>
    </row>
    <row r="402">
      <c r="A402" s="1">
        <f>IFERROR(__xludf.DUMMYFUNCTION("""COMPUTED_VALUE"""),658191.0)</f>
        <v>658191</v>
      </c>
      <c r="B402" s="2">
        <f>IFERROR(__xludf.DUMMYFUNCTION("""COMPUTED_VALUE"""),42753.42715992331)</f>
        <v>42753.42716</v>
      </c>
      <c r="C402" s="1" t="str">
        <f>IFERROR(__xludf.DUMMYFUNCTION("""COMPUTED_VALUE"""),"control")</f>
        <v>control</v>
      </c>
      <c r="D402" s="1" t="str">
        <f>IFERROR(__xludf.DUMMYFUNCTION("""COMPUTED_VALUE"""),"old_page")</f>
        <v>old_page</v>
      </c>
      <c r="E402" s="1">
        <f>IFERROR(__xludf.DUMMYFUNCTION("""COMPUTED_VALUE"""),0.0)</f>
        <v>0</v>
      </c>
    </row>
    <row r="403">
      <c r="A403" s="1">
        <f>IFERROR(__xludf.DUMMYFUNCTION("""COMPUTED_VALUE"""),681900.0)</f>
        <v>681900</v>
      </c>
      <c r="B403" s="2">
        <f>IFERROR(__xludf.DUMMYFUNCTION("""COMPUTED_VALUE"""),42742.829636053924)</f>
        <v>42742.82964</v>
      </c>
      <c r="C403" s="1" t="str">
        <f>IFERROR(__xludf.DUMMYFUNCTION("""COMPUTED_VALUE"""),"treatment")</f>
        <v>treatment</v>
      </c>
      <c r="D403" s="1" t="str">
        <f>IFERROR(__xludf.DUMMYFUNCTION("""COMPUTED_VALUE"""),"new_page")</f>
        <v>new_page</v>
      </c>
      <c r="E403" s="1">
        <f>IFERROR(__xludf.DUMMYFUNCTION("""COMPUTED_VALUE"""),0.0)</f>
        <v>0</v>
      </c>
    </row>
    <row r="404">
      <c r="A404" s="1">
        <f>IFERROR(__xludf.DUMMYFUNCTION("""COMPUTED_VALUE"""),842305.0)</f>
        <v>842305</v>
      </c>
      <c r="B404" s="2">
        <f>IFERROR(__xludf.DUMMYFUNCTION("""COMPUTED_VALUE"""),42745.416016807314)</f>
        <v>42745.41602</v>
      </c>
      <c r="C404" s="1" t="str">
        <f>IFERROR(__xludf.DUMMYFUNCTION("""COMPUTED_VALUE"""),"treatment")</f>
        <v>treatment</v>
      </c>
      <c r="D404" s="1" t="str">
        <f>IFERROR(__xludf.DUMMYFUNCTION("""COMPUTED_VALUE"""),"new_page")</f>
        <v>new_page</v>
      </c>
      <c r="E404" s="1">
        <f>IFERROR(__xludf.DUMMYFUNCTION("""COMPUTED_VALUE"""),0.0)</f>
        <v>0</v>
      </c>
    </row>
    <row r="405">
      <c r="A405" s="1">
        <f>IFERROR(__xludf.DUMMYFUNCTION("""COMPUTED_VALUE"""),901538.0)</f>
        <v>901538</v>
      </c>
      <c r="B405" s="2">
        <f>IFERROR(__xludf.DUMMYFUNCTION("""COMPUTED_VALUE"""),42757.112267966855)</f>
        <v>42757.11227</v>
      </c>
      <c r="C405" s="1" t="str">
        <f>IFERROR(__xludf.DUMMYFUNCTION("""COMPUTED_VALUE"""),"control")</f>
        <v>control</v>
      </c>
      <c r="D405" s="1" t="str">
        <f>IFERROR(__xludf.DUMMYFUNCTION("""COMPUTED_VALUE"""),"old_page")</f>
        <v>old_page</v>
      </c>
      <c r="E405" s="1">
        <f>IFERROR(__xludf.DUMMYFUNCTION("""COMPUTED_VALUE"""),0.0)</f>
        <v>0</v>
      </c>
    </row>
    <row r="406">
      <c r="A406" s="1">
        <f>IFERROR(__xludf.DUMMYFUNCTION("""COMPUTED_VALUE"""),902956.0)</f>
        <v>902956</v>
      </c>
      <c r="B406" s="2">
        <f>IFERROR(__xludf.DUMMYFUNCTION("""COMPUTED_VALUE"""),42752.67670898589)</f>
        <v>42752.67671</v>
      </c>
      <c r="C406" s="1" t="str">
        <f>IFERROR(__xludf.DUMMYFUNCTION("""COMPUTED_VALUE"""),"treatment")</f>
        <v>treatment</v>
      </c>
      <c r="D406" s="1" t="str">
        <f>IFERROR(__xludf.DUMMYFUNCTION("""COMPUTED_VALUE"""),"new_page")</f>
        <v>new_page</v>
      </c>
      <c r="E406" s="1">
        <f>IFERROR(__xludf.DUMMYFUNCTION("""COMPUTED_VALUE"""),0.0)</f>
        <v>0</v>
      </c>
    </row>
    <row r="407">
      <c r="A407" s="1">
        <f>IFERROR(__xludf.DUMMYFUNCTION("""COMPUTED_VALUE"""),790571.0)</f>
        <v>790571</v>
      </c>
      <c r="B407" s="2">
        <f>IFERROR(__xludf.DUMMYFUNCTION("""COMPUTED_VALUE"""),42754.18898187014)</f>
        <v>42754.18898</v>
      </c>
      <c r="C407" s="1" t="str">
        <f>IFERROR(__xludf.DUMMYFUNCTION("""COMPUTED_VALUE"""),"control")</f>
        <v>control</v>
      </c>
      <c r="D407" s="1" t="str">
        <f>IFERROR(__xludf.DUMMYFUNCTION("""COMPUTED_VALUE"""),"old_page")</f>
        <v>old_page</v>
      </c>
      <c r="E407" s="1">
        <f>IFERROR(__xludf.DUMMYFUNCTION("""COMPUTED_VALUE"""),0.0)</f>
        <v>0</v>
      </c>
    </row>
    <row r="408">
      <c r="A408" s="1">
        <f>IFERROR(__xludf.DUMMYFUNCTION("""COMPUTED_VALUE"""),899835.0)</f>
        <v>899835</v>
      </c>
      <c r="B408" s="2">
        <f>IFERROR(__xludf.DUMMYFUNCTION("""COMPUTED_VALUE"""),42749.36648071494)</f>
        <v>42749.36648</v>
      </c>
      <c r="C408" s="1" t="str">
        <f>IFERROR(__xludf.DUMMYFUNCTION("""COMPUTED_VALUE"""),"control")</f>
        <v>control</v>
      </c>
      <c r="D408" s="1" t="str">
        <f>IFERROR(__xludf.DUMMYFUNCTION("""COMPUTED_VALUE"""),"old_page")</f>
        <v>old_page</v>
      </c>
      <c r="E408" s="1">
        <f>IFERROR(__xludf.DUMMYFUNCTION("""COMPUTED_VALUE"""),0.0)</f>
        <v>0</v>
      </c>
    </row>
    <row r="409">
      <c r="A409" s="1">
        <f>IFERROR(__xludf.DUMMYFUNCTION("""COMPUTED_VALUE"""),878528.0)</f>
        <v>878528</v>
      </c>
      <c r="B409" s="2">
        <f>IFERROR(__xludf.DUMMYFUNCTION("""COMPUTED_VALUE"""),42750.3420285025)</f>
        <v>42750.34203</v>
      </c>
      <c r="C409" s="1" t="str">
        <f>IFERROR(__xludf.DUMMYFUNCTION("""COMPUTED_VALUE"""),"treatment")</f>
        <v>treatment</v>
      </c>
      <c r="D409" s="1" t="str">
        <f>IFERROR(__xludf.DUMMYFUNCTION("""COMPUTED_VALUE"""),"new_page")</f>
        <v>new_page</v>
      </c>
      <c r="E409" s="1">
        <f>IFERROR(__xludf.DUMMYFUNCTION("""COMPUTED_VALUE"""),0.0)</f>
        <v>0</v>
      </c>
    </row>
    <row r="410">
      <c r="A410" s="1">
        <f>IFERROR(__xludf.DUMMYFUNCTION("""COMPUTED_VALUE"""),646672.0)</f>
        <v>646672</v>
      </c>
      <c r="B410" s="2">
        <f>IFERROR(__xludf.DUMMYFUNCTION("""COMPUTED_VALUE"""),42738.783644133)</f>
        <v>42738.78364</v>
      </c>
      <c r="C410" s="1" t="str">
        <f>IFERROR(__xludf.DUMMYFUNCTION("""COMPUTED_VALUE"""),"treatment")</f>
        <v>treatment</v>
      </c>
      <c r="D410" s="1" t="str">
        <f>IFERROR(__xludf.DUMMYFUNCTION("""COMPUTED_VALUE"""),"new_page")</f>
        <v>new_page</v>
      </c>
      <c r="E410" s="1">
        <f>IFERROR(__xludf.DUMMYFUNCTION("""COMPUTED_VALUE"""),0.0)</f>
        <v>0</v>
      </c>
    </row>
    <row r="411">
      <c r="A411" s="1">
        <f>IFERROR(__xludf.DUMMYFUNCTION("""COMPUTED_VALUE"""),823486.0)</f>
        <v>823486</v>
      </c>
      <c r="B411" s="2">
        <f>IFERROR(__xludf.DUMMYFUNCTION("""COMPUTED_VALUE"""),42758.36294293279)</f>
        <v>42758.36294</v>
      </c>
      <c r="C411" s="1" t="str">
        <f>IFERROR(__xludf.DUMMYFUNCTION("""COMPUTED_VALUE"""),"treatment")</f>
        <v>treatment</v>
      </c>
      <c r="D411" s="1" t="str">
        <f>IFERROR(__xludf.DUMMYFUNCTION("""COMPUTED_VALUE"""),"new_page")</f>
        <v>new_page</v>
      </c>
      <c r="E411" s="1">
        <f>IFERROR(__xludf.DUMMYFUNCTION("""COMPUTED_VALUE"""),0.0)</f>
        <v>0</v>
      </c>
    </row>
    <row r="412">
      <c r="A412" s="1">
        <f>IFERROR(__xludf.DUMMYFUNCTION("""COMPUTED_VALUE"""),871653.0)</f>
        <v>871653</v>
      </c>
      <c r="B412" s="2">
        <f>IFERROR(__xludf.DUMMYFUNCTION("""COMPUTED_VALUE"""),42746.30287348949)</f>
        <v>42746.30287</v>
      </c>
      <c r="C412" s="1" t="str">
        <f>IFERROR(__xludf.DUMMYFUNCTION("""COMPUTED_VALUE"""),"treatment")</f>
        <v>treatment</v>
      </c>
      <c r="D412" s="1" t="str">
        <f>IFERROR(__xludf.DUMMYFUNCTION("""COMPUTED_VALUE"""),"new_page")</f>
        <v>new_page</v>
      </c>
      <c r="E412" s="1">
        <f>IFERROR(__xludf.DUMMYFUNCTION("""COMPUTED_VALUE"""),0.0)</f>
        <v>0</v>
      </c>
    </row>
    <row r="413">
      <c r="A413" s="1">
        <f>IFERROR(__xludf.DUMMYFUNCTION("""COMPUTED_VALUE"""),677869.0)</f>
        <v>677869</v>
      </c>
      <c r="B413" s="2">
        <f>IFERROR(__xludf.DUMMYFUNCTION("""COMPUTED_VALUE"""),42750.4719617588)</f>
        <v>42750.47196</v>
      </c>
      <c r="C413" s="1" t="str">
        <f>IFERROR(__xludf.DUMMYFUNCTION("""COMPUTED_VALUE"""),"control")</f>
        <v>control</v>
      </c>
      <c r="D413" s="1" t="str">
        <f>IFERROR(__xludf.DUMMYFUNCTION("""COMPUTED_VALUE"""),"old_page")</f>
        <v>old_page</v>
      </c>
      <c r="E413" s="1">
        <f>IFERROR(__xludf.DUMMYFUNCTION("""COMPUTED_VALUE"""),0.0)</f>
        <v>0</v>
      </c>
    </row>
    <row r="414">
      <c r="A414" s="1">
        <f>IFERROR(__xludf.DUMMYFUNCTION("""COMPUTED_VALUE"""),749330.0)</f>
        <v>749330</v>
      </c>
      <c r="B414" s="2">
        <f>IFERROR(__xludf.DUMMYFUNCTION("""COMPUTED_VALUE"""),42740.546921730565)</f>
        <v>42740.54692</v>
      </c>
      <c r="C414" s="1" t="str">
        <f>IFERROR(__xludf.DUMMYFUNCTION("""COMPUTED_VALUE"""),"treatment")</f>
        <v>treatment</v>
      </c>
      <c r="D414" s="1" t="str">
        <f>IFERROR(__xludf.DUMMYFUNCTION("""COMPUTED_VALUE"""),"new_page")</f>
        <v>new_page</v>
      </c>
      <c r="E414" s="1">
        <f>IFERROR(__xludf.DUMMYFUNCTION("""COMPUTED_VALUE"""),0.0)</f>
        <v>0</v>
      </c>
    </row>
    <row r="415">
      <c r="A415" s="1">
        <f>IFERROR(__xludf.DUMMYFUNCTION("""COMPUTED_VALUE"""),706373.0)</f>
        <v>706373</v>
      </c>
      <c r="B415" s="2">
        <f>IFERROR(__xludf.DUMMYFUNCTION("""COMPUTED_VALUE"""),42748.66801031021)</f>
        <v>42748.66801</v>
      </c>
      <c r="C415" s="1" t="str">
        <f>IFERROR(__xludf.DUMMYFUNCTION("""COMPUTED_VALUE"""),"control")</f>
        <v>control</v>
      </c>
      <c r="D415" s="1" t="str">
        <f>IFERROR(__xludf.DUMMYFUNCTION("""COMPUTED_VALUE"""),"old_page")</f>
        <v>old_page</v>
      </c>
      <c r="E415" s="1">
        <f>IFERROR(__xludf.DUMMYFUNCTION("""COMPUTED_VALUE"""),0.0)</f>
        <v>0</v>
      </c>
    </row>
    <row r="416">
      <c r="A416" s="1">
        <f>IFERROR(__xludf.DUMMYFUNCTION("""COMPUTED_VALUE"""),789959.0)</f>
        <v>789959</v>
      </c>
      <c r="B416" s="2">
        <f>IFERROR(__xludf.DUMMYFUNCTION("""COMPUTED_VALUE"""),42751.75423978315)</f>
        <v>42751.75424</v>
      </c>
      <c r="C416" s="1" t="str">
        <f>IFERROR(__xludf.DUMMYFUNCTION("""COMPUTED_VALUE"""),"control")</f>
        <v>control</v>
      </c>
      <c r="D416" s="1" t="str">
        <f>IFERROR(__xludf.DUMMYFUNCTION("""COMPUTED_VALUE"""),"old_page")</f>
        <v>old_page</v>
      </c>
      <c r="E416" s="1">
        <f>IFERROR(__xludf.DUMMYFUNCTION("""COMPUTED_VALUE"""),0.0)</f>
        <v>0</v>
      </c>
    </row>
    <row r="417">
      <c r="A417" s="1">
        <f>IFERROR(__xludf.DUMMYFUNCTION("""COMPUTED_VALUE"""),851159.0)</f>
        <v>851159</v>
      </c>
      <c r="B417" s="2">
        <f>IFERROR(__xludf.DUMMYFUNCTION("""COMPUTED_VALUE"""),42754.1841757147)</f>
        <v>42754.18418</v>
      </c>
      <c r="C417" s="1" t="str">
        <f>IFERROR(__xludf.DUMMYFUNCTION("""COMPUTED_VALUE"""),"treatment")</f>
        <v>treatment</v>
      </c>
      <c r="D417" s="1" t="str">
        <f>IFERROR(__xludf.DUMMYFUNCTION("""COMPUTED_VALUE"""),"new_page")</f>
        <v>new_page</v>
      </c>
      <c r="E417" s="1">
        <f>IFERROR(__xludf.DUMMYFUNCTION("""COMPUTED_VALUE"""),1.0)</f>
        <v>1</v>
      </c>
    </row>
    <row r="418">
      <c r="A418" s="1">
        <f>IFERROR(__xludf.DUMMYFUNCTION("""COMPUTED_VALUE"""),740199.0)</f>
        <v>740199</v>
      </c>
      <c r="B418" s="2">
        <f>IFERROR(__xludf.DUMMYFUNCTION("""COMPUTED_VALUE"""),42755.38807010589)</f>
        <v>42755.38807</v>
      </c>
      <c r="C418" s="1" t="str">
        <f>IFERROR(__xludf.DUMMYFUNCTION("""COMPUTED_VALUE"""),"treatment")</f>
        <v>treatment</v>
      </c>
      <c r="D418" s="1" t="str">
        <f>IFERROR(__xludf.DUMMYFUNCTION("""COMPUTED_VALUE"""),"new_page")</f>
        <v>new_page</v>
      </c>
      <c r="E418" s="1">
        <f>IFERROR(__xludf.DUMMYFUNCTION("""COMPUTED_VALUE"""),0.0)</f>
        <v>0</v>
      </c>
    </row>
    <row r="419">
      <c r="A419" s="1">
        <f>IFERROR(__xludf.DUMMYFUNCTION("""COMPUTED_VALUE"""),740898.0)</f>
        <v>740898</v>
      </c>
      <c r="B419" s="2">
        <f>IFERROR(__xludf.DUMMYFUNCTION("""COMPUTED_VALUE"""),42746.619488922544)</f>
        <v>42746.61949</v>
      </c>
      <c r="C419" s="1" t="str">
        <f>IFERROR(__xludf.DUMMYFUNCTION("""COMPUTED_VALUE"""),"control")</f>
        <v>control</v>
      </c>
      <c r="D419" s="1" t="str">
        <f>IFERROR(__xludf.DUMMYFUNCTION("""COMPUTED_VALUE"""),"old_page")</f>
        <v>old_page</v>
      </c>
      <c r="E419" s="1">
        <f>IFERROR(__xludf.DUMMYFUNCTION("""COMPUTED_VALUE"""),0.0)</f>
        <v>0</v>
      </c>
    </row>
    <row r="420">
      <c r="A420" s="1">
        <f>IFERROR(__xludf.DUMMYFUNCTION("""COMPUTED_VALUE"""),847007.0)</f>
        <v>847007</v>
      </c>
      <c r="B420" s="2">
        <f>IFERROR(__xludf.DUMMYFUNCTION("""COMPUTED_VALUE"""),42754.750962482394)</f>
        <v>42754.75096</v>
      </c>
      <c r="C420" s="1" t="str">
        <f>IFERROR(__xludf.DUMMYFUNCTION("""COMPUTED_VALUE"""),"treatment")</f>
        <v>treatment</v>
      </c>
      <c r="D420" s="1" t="str">
        <f>IFERROR(__xludf.DUMMYFUNCTION("""COMPUTED_VALUE"""),"new_page")</f>
        <v>new_page</v>
      </c>
      <c r="E420" s="1">
        <f>IFERROR(__xludf.DUMMYFUNCTION("""COMPUTED_VALUE"""),0.0)</f>
        <v>0</v>
      </c>
    </row>
    <row r="421">
      <c r="A421" s="1">
        <f>IFERROR(__xludf.DUMMYFUNCTION("""COMPUTED_VALUE"""),878131.0)</f>
        <v>878131</v>
      </c>
      <c r="B421" s="2">
        <f>IFERROR(__xludf.DUMMYFUNCTION("""COMPUTED_VALUE"""),42758.25702557871)</f>
        <v>42758.25703</v>
      </c>
      <c r="C421" s="1" t="str">
        <f>IFERROR(__xludf.DUMMYFUNCTION("""COMPUTED_VALUE"""),"control")</f>
        <v>control</v>
      </c>
      <c r="D421" s="1" t="str">
        <f>IFERROR(__xludf.DUMMYFUNCTION("""COMPUTED_VALUE"""),"old_page")</f>
        <v>old_page</v>
      </c>
      <c r="E421" s="1">
        <f>IFERROR(__xludf.DUMMYFUNCTION("""COMPUTED_VALUE"""),0.0)</f>
        <v>0</v>
      </c>
    </row>
    <row r="422">
      <c r="A422" s="1">
        <f>IFERROR(__xludf.DUMMYFUNCTION("""COMPUTED_VALUE"""),701434.0)</f>
        <v>701434</v>
      </c>
      <c r="B422" s="2">
        <f>IFERROR(__xludf.DUMMYFUNCTION("""COMPUTED_VALUE"""),42741.15262921306)</f>
        <v>42741.15263</v>
      </c>
      <c r="C422" s="1" t="str">
        <f>IFERROR(__xludf.DUMMYFUNCTION("""COMPUTED_VALUE"""),"control")</f>
        <v>control</v>
      </c>
      <c r="D422" s="1" t="str">
        <f>IFERROR(__xludf.DUMMYFUNCTION("""COMPUTED_VALUE"""),"old_page")</f>
        <v>old_page</v>
      </c>
      <c r="E422" s="1">
        <f>IFERROR(__xludf.DUMMYFUNCTION("""COMPUTED_VALUE"""),0.0)</f>
        <v>0</v>
      </c>
    </row>
    <row r="423">
      <c r="A423" s="1">
        <f>IFERROR(__xludf.DUMMYFUNCTION("""COMPUTED_VALUE"""),762432.0)</f>
        <v>762432</v>
      </c>
      <c r="B423" s="2">
        <f>IFERROR(__xludf.DUMMYFUNCTION("""COMPUTED_VALUE"""),42737.939352013695)</f>
        <v>42737.93935</v>
      </c>
      <c r="C423" s="1" t="str">
        <f>IFERROR(__xludf.DUMMYFUNCTION("""COMPUTED_VALUE"""),"treatment")</f>
        <v>treatment</v>
      </c>
      <c r="D423" s="1" t="str">
        <f>IFERROR(__xludf.DUMMYFUNCTION("""COMPUTED_VALUE"""),"new_page")</f>
        <v>new_page</v>
      </c>
      <c r="E423" s="1">
        <f>IFERROR(__xludf.DUMMYFUNCTION("""COMPUTED_VALUE"""),0.0)</f>
        <v>0</v>
      </c>
    </row>
    <row r="424">
      <c r="A424" s="1">
        <f>IFERROR(__xludf.DUMMYFUNCTION("""COMPUTED_VALUE"""),683162.0)</f>
        <v>683162</v>
      </c>
      <c r="B424" s="2">
        <f>IFERROR(__xludf.DUMMYFUNCTION("""COMPUTED_VALUE"""),42758.86504690689)</f>
        <v>42758.86505</v>
      </c>
      <c r="C424" s="1" t="str">
        <f>IFERROR(__xludf.DUMMYFUNCTION("""COMPUTED_VALUE"""),"treatment")</f>
        <v>treatment</v>
      </c>
      <c r="D424" s="1" t="str">
        <f>IFERROR(__xludf.DUMMYFUNCTION("""COMPUTED_VALUE"""),"new_page")</f>
        <v>new_page</v>
      </c>
      <c r="E424" s="1">
        <f>IFERROR(__xludf.DUMMYFUNCTION("""COMPUTED_VALUE"""),0.0)</f>
        <v>0</v>
      </c>
    </row>
    <row r="425">
      <c r="A425" s="1">
        <f>IFERROR(__xludf.DUMMYFUNCTION("""COMPUTED_VALUE"""),797640.0)</f>
        <v>797640</v>
      </c>
      <c r="B425" s="2">
        <f>IFERROR(__xludf.DUMMYFUNCTION("""COMPUTED_VALUE"""),42743.86782344163)</f>
        <v>42743.86782</v>
      </c>
      <c r="C425" s="1" t="str">
        <f>IFERROR(__xludf.DUMMYFUNCTION("""COMPUTED_VALUE"""),"treatment")</f>
        <v>treatment</v>
      </c>
      <c r="D425" s="1" t="str">
        <f>IFERROR(__xludf.DUMMYFUNCTION("""COMPUTED_VALUE"""),"new_page")</f>
        <v>new_page</v>
      </c>
      <c r="E425" s="1">
        <f>IFERROR(__xludf.DUMMYFUNCTION("""COMPUTED_VALUE"""),0.0)</f>
        <v>0</v>
      </c>
    </row>
    <row r="426">
      <c r="A426" s="1">
        <f>IFERROR(__xludf.DUMMYFUNCTION("""COMPUTED_VALUE"""),817677.0)</f>
        <v>817677</v>
      </c>
      <c r="B426" s="2">
        <f>IFERROR(__xludf.DUMMYFUNCTION("""COMPUTED_VALUE"""),42756.82081379823)</f>
        <v>42756.82081</v>
      </c>
      <c r="C426" s="1" t="str">
        <f>IFERROR(__xludf.DUMMYFUNCTION("""COMPUTED_VALUE"""),"treatment")</f>
        <v>treatment</v>
      </c>
      <c r="D426" s="1" t="str">
        <f>IFERROR(__xludf.DUMMYFUNCTION("""COMPUTED_VALUE"""),"new_page")</f>
        <v>new_page</v>
      </c>
      <c r="E426" s="1">
        <f>IFERROR(__xludf.DUMMYFUNCTION("""COMPUTED_VALUE"""),0.0)</f>
        <v>0</v>
      </c>
    </row>
    <row r="427">
      <c r="A427" s="1">
        <f>IFERROR(__xludf.DUMMYFUNCTION("""COMPUTED_VALUE"""),816993.0)</f>
        <v>816993</v>
      </c>
      <c r="B427" s="2">
        <f>IFERROR(__xludf.DUMMYFUNCTION("""COMPUTED_VALUE"""),42755.41268699558)</f>
        <v>42755.41269</v>
      </c>
      <c r="C427" s="1" t="str">
        <f>IFERROR(__xludf.DUMMYFUNCTION("""COMPUTED_VALUE"""),"treatment")</f>
        <v>treatment</v>
      </c>
      <c r="D427" s="1" t="str">
        <f>IFERROR(__xludf.DUMMYFUNCTION("""COMPUTED_VALUE"""),"new_page")</f>
        <v>new_page</v>
      </c>
      <c r="E427" s="1">
        <f>IFERROR(__xludf.DUMMYFUNCTION("""COMPUTED_VALUE"""),1.0)</f>
        <v>1</v>
      </c>
    </row>
    <row r="428">
      <c r="A428" s="1">
        <f>IFERROR(__xludf.DUMMYFUNCTION("""COMPUTED_VALUE"""),694096.0)</f>
        <v>694096</v>
      </c>
      <c r="B428" s="2">
        <f>IFERROR(__xludf.DUMMYFUNCTION("""COMPUTED_VALUE"""),42757.3005264445)</f>
        <v>42757.30053</v>
      </c>
      <c r="C428" s="1" t="str">
        <f>IFERROR(__xludf.DUMMYFUNCTION("""COMPUTED_VALUE"""),"treatment")</f>
        <v>treatment</v>
      </c>
      <c r="D428" s="1" t="str">
        <f>IFERROR(__xludf.DUMMYFUNCTION("""COMPUTED_VALUE"""),"new_page")</f>
        <v>new_page</v>
      </c>
      <c r="E428" s="1">
        <f>IFERROR(__xludf.DUMMYFUNCTION("""COMPUTED_VALUE"""),1.0)</f>
        <v>1</v>
      </c>
    </row>
    <row r="429">
      <c r="A429" s="1">
        <f>IFERROR(__xludf.DUMMYFUNCTION("""COMPUTED_VALUE"""),795159.0)</f>
        <v>795159</v>
      </c>
      <c r="B429" s="2">
        <f>IFERROR(__xludf.DUMMYFUNCTION("""COMPUTED_VALUE"""),42753.77505405279)</f>
        <v>42753.77505</v>
      </c>
      <c r="C429" s="1" t="str">
        <f>IFERROR(__xludf.DUMMYFUNCTION("""COMPUTED_VALUE"""),"treatment")</f>
        <v>treatment</v>
      </c>
      <c r="D429" s="1" t="str">
        <f>IFERROR(__xludf.DUMMYFUNCTION("""COMPUTED_VALUE"""),"new_page")</f>
        <v>new_page</v>
      </c>
      <c r="E429" s="1">
        <f>IFERROR(__xludf.DUMMYFUNCTION("""COMPUTED_VALUE"""),1.0)</f>
        <v>1</v>
      </c>
    </row>
    <row r="430">
      <c r="A430" s="1">
        <f>IFERROR(__xludf.DUMMYFUNCTION("""COMPUTED_VALUE"""),679162.0)</f>
        <v>679162</v>
      </c>
      <c r="B430" s="2">
        <f>IFERROR(__xludf.DUMMYFUNCTION("""COMPUTED_VALUE"""),42738.69009724793)</f>
        <v>42738.6901</v>
      </c>
      <c r="C430" s="1" t="str">
        <f>IFERROR(__xludf.DUMMYFUNCTION("""COMPUTED_VALUE"""),"treatment")</f>
        <v>treatment</v>
      </c>
      <c r="D430" s="1" t="str">
        <f>IFERROR(__xludf.DUMMYFUNCTION("""COMPUTED_VALUE"""),"new_page")</f>
        <v>new_page</v>
      </c>
      <c r="E430" s="1">
        <f>IFERROR(__xludf.DUMMYFUNCTION("""COMPUTED_VALUE"""),0.0)</f>
        <v>0</v>
      </c>
    </row>
    <row r="431">
      <c r="A431" s="1">
        <f>IFERROR(__xludf.DUMMYFUNCTION("""COMPUTED_VALUE"""),750549.0)</f>
        <v>750549</v>
      </c>
      <c r="B431" s="2">
        <f>IFERROR(__xludf.DUMMYFUNCTION("""COMPUTED_VALUE"""),42757.19954005391)</f>
        <v>42757.19954</v>
      </c>
      <c r="C431" s="1" t="str">
        <f>IFERROR(__xludf.DUMMYFUNCTION("""COMPUTED_VALUE"""),"treatment")</f>
        <v>treatment</v>
      </c>
      <c r="D431" s="1" t="str">
        <f>IFERROR(__xludf.DUMMYFUNCTION("""COMPUTED_VALUE"""),"new_page")</f>
        <v>new_page</v>
      </c>
      <c r="E431" s="1">
        <f>IFERROR(__xludf.DUMMYFUNCTION("""COMPUTED_VALUE"""),0.0)</f>
        <v>0</v>
      </c>
    </row>
    <row r="432">
      <c r="A432" s="1">
        <f>IFERROR(__xludf.DUMMYFUNCTION("""COMPUTED_VALUE"""),743060.0)</f>
        <v>743060</v>
      </c>
      <c r="B432" s="2">
        <f>IFERROR(__xludf.DUMMYFUNCTION("""COMPUTED_VALUE"""),42749.28778371565)</f>
        <v>42749.28778</v>
      </c>
      <c r="C432" s="1" t="str">
        <f>IFERROR(__xludf.DUMMYFUNCTION("""COMPUTED_VALUE"""),"treatment")</f>
        <v>treatment</v>
      </c>
      <c r="D432" s="1" t="str">
        <f>IFERROR(__xludf.DUMMYFUNCTION("""COMPUTED_VALUE"""),"new_page")</f>
        <v>new_page</v>
      </c>
      <c r="E432" s="1">
        <f>IFERROR(__xludf.DUMMYFUNCTION("""COMPUTED_VALUE"""),0.0)</f>
        <v>0</v>
      </c>
    </row>
    <row r="433">
      <c r="A433" s="1">
        <f>IFERROR(__xludf.DUMMYFUNCTION("""COMPUTED_VALUE"""),754106.0)</f>
        <v>754106</v>
      </c>
      <c r="B433" s="2">
        <f>IFERROR(__xludf.DUMMYFUNCTION("""COMPUTED_VALUE"""),42749.04879709754)</f>
        <v>42749.0488</v>
      </c>
      <c r="C433" s="1" t="str">
        <f>IFERROR(__xludf.DUMMYFUNCTION("""COMPUTED_VALUE"""),"control")</f>
        <v>control</v>
      </c>
      <c r="D433" s="1" t="str">
        <f>IFERROR(__xludf.DUMMYFUNCTION("""COMPUTED_VALUE"""),"old_page")</f>
        <v>old_page</v>
      </c>
      <c r="E433" s="1">
        <f>IFERROR(__xludf.DUMMYFUNCTION("""COMPUTED_VALUE"""),0.0)</f>
        <v>0</v>
      </c>
    </row>
    <row r="434">
      <c r="A434" s="1">
        <f>IFERROR(__xludf.DUMMYFUNCTION("""COMPUTED_VALUE"""),841818.0)</f>
        <v>841818</v>
      </c>
      <c r="B434" s="2">
        <f>IFERROR(__xludf.DUMMYFUNCTION("""COMPUTED_VALUE"""),42746.62928797713)</f>
        <v>42746.62929</v>
      </c>
      <c r="C434" s="1" t="str">
        <f>IFERROR(__xludf.DUMMYFUNCTION("""COMPUTED_VALUE"""),"treatment")</f>
        <v>treatment</v>
      </c>
      <c r="D434" s="1" t="str">
        <f>IFERROR(__xludf.DUMMYFUNCTION("""COMPUTED_VALUE"""),"new_page")</f>
        <v>new_page</v>
      </c>
      <c r="E434" s="1">
        <f>IFERROR(__xludf.DUMMYFUNCTION("""COMPUTED_VALUE"""),0.0)</f>
        <v>0</v>
      </c>
    </row>
    <row r="435">
      <c r="A435" s="1">
        <f>IFERROR(__xludf.DUMMYFUNCTION("""COMPUTED_VALUE"""),817544.0)</f>
        <v>817544</v>
      </c>
      <c r="B435" s="2">
        <f>IFERROR(__xludf.DUMMYFUNCTION("""COMPUTED_VALUE"""),42747.14882449396)</f>
        <v>42747.14882</v>
      </c>
      <c r="C435" s="1" t="str">
        <f>IFERROR(__xludf.DUMMYFUNCTION("""COMPUTED_VALUE"""),"control")</f>
        <v>control</v>
      </c>
      <c r="D435" s="1" t="str">
        <f>IFERROR(__xludf.DUMMYFUNCTION("""COMPUTED_VALUE"""),"old_page")</f>
        <v>old_page</v>
      </c>
      <c r="E435" s="1">
        <f>IFERROR(__xludf.DUMMYFUNCTION("""COMPUTED_VALUE"""),0.0)</f>
        <v>0</v>
      </c>
    </row>
    <row r="436">
      <c r="A436" s="1">
        <f>IFERROR(__xludf.DUMMYFUNCTION("""COMPUTED_VALUE"""),695895.0)</f>
        <v>695895</v>
      </c>
      <c r="B436" s="2">
        <f>IFERROR(__xludf.DUMMYFUNCTION("""COMPUTED_VALUE"""),42754.02066514736)</f>
        <v>42754.02067</v>
      </c>
      <c r="C436" s="1" t="str">
        <f>IFERROR(__xludf.DUMMYFUNCTION("""COMPUTED_VALUE"""),"treatment")</f>
        <v>treatment</v>
      </c>
      <c r="D436" s="1" t="str">
        <f>IFERROR(__xludf.DUMMYFUNCTION("""COMPUTED_VALUE"""),"new_page")</f>
        <v>new_page</v>
      </c>
      <c r="E436" s="1">
        <f>IFERROR(__xludf.DUMMYFUNCTION("""COMPUTED_VALUE"""),0.0)</f>
        <v>0</v>
      </c>
    </row>
    <row r="437">
      <c r="A437" s="1">
        <f>IFERROR(__xludf.DUMMYFUNCTION("""COMPUTED_VALUE"""),791715.0)</f>
        <v>791715</v>
      </c>
      <c r="B437" s="2">
        <f>IFERROR(__xludf.DUMMYFUNCTION("""COMPUTED_VALUE"""),42742.348568612775)</f>
        <v>42742.34857</v>
      </c>
      <c r="C437" s="1" t="str">
        <f>IFERROR(__xludf.DUMMYFUNCTION("""COMPUTED_VALUE"""),"control")</f>
        <v>control</v>
      </c>
      <c r="D437" s="1" t="str">
        <f>IFERROR(__xludf.DUMMYFUNCTION("""COMPUTED_VALUE"""),"old_page")</f>
        <v>old_page</v>
      </c>
      <c r="E437" s="1">
        <f>IFERROR(__xludf.DUMMYFUNCTION("""COMPUTED_VALUE"""),0.0)</f>
        <v>0</v>
      </c>
    </row>
    <row r="438">
      <c r="A438" s="1">
        <f>IFERROR(__xludf.DUMMYFUNCTION("""COMPUTED_VALUE"""),708223.0)</f>
        <v>708223</v>
      </c>
      <c r="B438" s="2">
        <f>IFERROR(__xludf.DUMMYFUNCTION("""COMPUTED_VALUE"""),42748.99114759055)</f>
        <v>42748.99115</v>
      </c>
      <c r="C438" s="1" t="str">
        <f>IFERROR(__xludf.DUMMYFUNCTION("""COMPUTED_VALUE"""),"treatment")</f>
        <v>treatment</v>
      </c>
      <c r="D438" s="1" t="str">
        <f>IFERROR(__xludf.DUMMYFUNCTION("""COMPUTED_VALUE"""),"new_page")</f>
        <v>new_page</v>
      </c>
      <c r="E438" s="1">
        <f>IFERROR(__xludf.DUMMYFUNCTION("""COMPUTED_VALUE"""),0.0)</f>
        <v>0</v>
      </c>
    </row>
    <row r="439">
      <c r="A439" s="1">
        <f>IFERROR(__xludf.DUMMYFUNCTION("""COMPUTED_VALUE"""),742784.0)</f>
        <v>742784</v>
      </c>
      <c r="B439" s="2">
        <f>IFERROR(__xludf.DUMMYFUNCTION("""COMPUTED_VALUE"""),42744.096162036134)</f>
        <v>42744.09616</v>
      </c>
      <c r="C439" s="1" t="str">
        <f>IFERROR(__xludf.DUMMYFUNCTION("""COMPUTED_VALUE"""),"control")</f>
        <v>control</v>
      </c>
      <c r="D439" s="1" t="str">
        <f>IFERROR(__xludf.DUMMYFUNCTION("""COMPUTED_VALUE"""),"old_page")</f>
        <v>old_page</v>
      </c>
      <c r="E439" s="1">
        <f>IFERROR(__xludf.DUMMYFUNCTION("""COMPUTED_VALUE"""),0.0)</f>
        <v>0</v>
      </c>
    </row>
    <row r="440">
      <c r="A440" s="1">
        <f>IFERROR(__xludf.DUMMYFUNCTION("""COMPUTED_VALUE"""),778140.0)</f>
        <v>778140</v>
      </c>
      <c r="B440" s="2">
        <f>IFERROR(__xludf.DUMMYFUNCTION("""COMPUTED_VALUE"""),42738.49323416933)</f>
        <v>42738.49323</v>
      </c>
      <c r="C440" s="1" t="str">
        <f>IFERROR(__xludf.DUMMYFUNCTION("""COMPUTED_VALUE"""),"treatment")</f>
        <v>treatment</v>
      </c>
      <c r="D440" s="1" t="str">
        <f>IFERROR(__xludf.DUMMYFUNCTION("""COMPUTED_VALUE"""),"new_page")</f>
        <v>new_page</v>
      </c>
      <c r="E440" s="1">
        <f>IFERROR(__xludf.DUMMYFUNCTION("""COMPUTED_VALUE"""),0.0)</f>
        <v>0</v>
      </c>
    </row>
    <row r="441">
      <c r="A441" s="1">
        <f>IFERROR(__xludf.DUMMYFUNCTION("""COMPUTED_VALUE"""),735393.0)</f>
        <v>735393</v>
      </c>
      <c r="B441" s="2">
        <f>IFERROR(__xludf.DUMMYFUNCTION("""COMPUTED_VALUE"""),42748.04622566386)</f>
        <v>42748.04623</v>
      </c>
      <c r="C441" s="1" t="str">
        <f>IFERROR(__xludf.DUMMYFUNCTION("""COMPUTED_VALUE"""),"treatment")</f>
        <v>treatment</v>
      </c>
      <c r="D441" s="1" t="str">
        <f>IFERROR(__xludf.DUMMYFUNCTION("""COMPUTED_VALUE"""),"new_page")</f>
        <v>new_page</v>
      </c>
      <c r="E441" s="1">
        <f>IFERROR(__xludf.DUMMYFUNCTION("""COMPUTED_VALUE"""),0.0)</f>
        <v>0</v>
      </c>
    </row>
    <row r="442">
      <c r="A442" s="1">
        <f>IFERROR(__xludf.DUMMYFUNCTION("""COMPUTED_VALUE"""),888398.0)</f>
        <v>888398</v>
      </c>
      <c r="B442" s="2">
        <f>IFERROR(__xludf.DUMMYFUNCTION("""COMPUTED_VALUE"""),42752.319682181085)</f>
        <v>42752.31968</v>
      </c>
      <c r="C442" s="1" t="str">
        <f>IFERROR(__xludf.DUMMYFUNCTION("""COMPUTED_VALUE"""),"control")</f>
        <v>control</v>
      </c>
      <c r="D442" s="1" t="str">
        <f>IFERROR(__xludf.DUMMYFUNCTION("""COMPUTED_VALUE"""),"old_page")</f>
        <v>old_page</v>
      </c>
      <c r="E442" s="1">
        <f>IFERROR(__xludf.DUMMYFUNCTION("""COMPUTED_VALUE"""),0.0)</f>
        <v>0</v>
      </c>
    </row>
    <row r="443">
      <c r="A443" s="1">
        <f>IFERROR(__xludf.DUMMYFUNCTION("""COMPUTED_VALUE"""),797344.0)</f>
        <v>797344</v>
      </c>
      <c r="B443" s="2">
        <f>IFERROR(__xludf.DUMMYFUNCTION("""COMPUTED_VALUE"""),42747.27998562216)</f>
        <v>42747.27999</v>
      </c>
      <c r="C443" s="1" t="str">
        <f>IFERROR(__xludf.DUMMYFUNCTION("""COMPUTED_VALUE"""),"control")</f>
        <v>control</v>
      </c>
      <c r="D443" s="1" t="str">
        <f>IFERROR(__xludf.DUMMYFUNCTION("""COMPUTED_VALUE"""),"old_page")</f>
        <v>old_page</v>
      </c>
      <c r="E443" s="1">
        <f>IFERROR(__xludf.DUMMYFUNCTION("""COMPUTED_VALUE"""),0.0)</f>
        <v>0</v>
      </c>
    </row>
    <row r="444">
      <c r="A444" s="1">
        <f>IFERROR(__xludf.DUMMYFUNCTION("""COMPUTED_VALUE"""),821526.0)</f>
        <v>821526</v>
      </c>
      <c r="B444" s="2">
        <f>IFERROR(__xludf.DUMMYFUNCTION("""COMPUTED_VALUE"""),42752.04309626529)</f>
        <v>42752.0431</v>
      </c>
      <c r="C444" s="1" t="str">
        <f>IFERROR(__xludf.DUMMYFUNCTION("""COMPUTED_VALUE"""),"treatment")</f>
        <v>treatment</v>
      </c>
      <c r="D444" s="1" t="str">
        <f>IFERROR(__xludf.DUMMYFUNCTION("""COMPUTED_VALUE"""),"new_page")</f>
        <v>new_page</v>
      </c>
      <c r="E444" s="1">
        <f>IFERROR(__xludf.DUMMYFUNCTION("""COMPUTED_VALUE"""),1.0)</f>
        <v>1</v>
      </c>
    </row>
    <row r="445">
      <c r="A445" s="1">
        <f>IFERROR(__xludf.DUMMYFUNCTION("""COMPUTED_VALUE"""),804659.0)</f>
        <v>804659</v>
      </c>
      <c r="B445" s="2">
        <f>IFERROR(__xludf.DUMMYFUNCTION("""COMPUTED_VALUE"""),42753.36955806058)</f>
        <v>42753.36956</v>
      </c>
      <c r="C445" s="1" t="str">
        <f>IFERROR(__xludf.DUMMYFUNCTION("""COMPUTED_VALUE"""),"control")</f>
        <v>control</v>
      </c>
      <c r="D445" s="1" t="str">
        <f>IFERROR(__xludf.DUMMYFUNCTION("""COMPUTED_VALUE"""),"old_page")</f>
        <v>old_page</v>
      </c>
      <c r="E445" s="1">
        <f>IFERROR(__xludf.DUMMYFUNCTION("""COMPUTED_VALUE"""),0.0)</f>
        <v>0</v>
      </c>
    </row>
    <row r="446">
      <c r="A446" s="1">
        <f>IFERROR(__xludf.DUMMYFUNCTION("""COMPUTED_VALUE"""),796805.0)</f>
        <v>796805</v>
      </c>
      <c r="B446" s="2">
        <f>IFERROR(__xludf.DUMMYFUNCTION("""COMPUTED_VALUE"""),42752.595131916794)</f>
        <v>42752.59513</v>
      </c>
      <c r="C446" s="1" t="str">
        <f>IFERROR(__xludf.DUMMYFUNCTION("""COMPUTED_VALUE"""),"treatment")</f>
        <v>treatment</v>
      </c>
      <c r="D446" s="1" t="str">
        <f>IFERROR(__xludf.DUMMYFUNCTION("""COMPUTED_VALUE"""),"new_page")</f>
        <v>new_page</v>
      </c>
      <c r="E446" s="1">
        <f>IFERROR(__xludf.DUMMYFUNCTION("""COMPUTED_VALUE"""),0.0)</f>
        <v>0</v>
      </c>
    </row>
    <row r="447">
      <c r="A447" s="1">
        <f>IFERROR(__xludf.DUMMYFUNCTION("""COMPUTED_VALUE"""),899990.0)</f>
        <v>899990</v>
      </c>
      <c r="B447" s="2">
        <f>IFERROR(__xludf.DUMMYFUNCTION("""COMPUTED_VALUE"""),42748.965217156554)</f>
        <v>42748.96522</v>
      </c>
      <c r="C447" s="1" t="str">
        <f>IFERROR(__xludf.DUMMYFUNCTION("""COMPUTED_VALUE"""),"treatment")</f>
        <v>treatment</v>
      </c>
      <c r="D447" s="1" t="str">
        <f>IFERROR(__xludf.DUMMYFUNCTION("""COMPUTED_VALUE"""),"new_page")</f>
        <v>new_page</v>
      </c>
      <c r="E447" s="1">
        <f>IFERROR(__xludf.DUMMYFUNCTION("""COMPUTED_VALUE"""),0.0)</f>
        <v>0</v>
      </c>
    </row>
    <row r="448">
      <c r="A448" s="1">
        <f>IFERROR(__xludf.DUMMYFUNCTION("""COMPUTED_VALUE"""),930788.0)</f>
        <v>930788</v>
      </c>
      <c r="B448" s="2">
        <f>IFERROR(__xludf.DUMMYFUNCTION("""COMPUTED_VALUE"""),42742.69529023718)</f>
        <v>42742.69529</v>
      </c>
      <c r="C448" s="1" t="str">
        <f>IFERROR(__xludf.DUMMYFUNCTION("""COMPUTED_VALUE"""),"treatment")</f>
        <v>treatment</v>
      </c>
      <c r="D448" s="1" t="str">
        <f>IFERROR(__xludf.DUMMYFUNCTION("""COMPUTED_VALUE"""),"new_page")</f>
        <v>new_page</v>
      </c>
      <c r="E448" s="1">
        <f>IFERROR(__xludf.DUMMYFUNCTION("""COMPUTED_VALUE"""),0.0)</f>
        <v>0</v>
      </c>
    </row>
    <row r="449">
      <c r="A449" s="1">
        <f>IFERROR(__xludf.DUMMYFUNCTION("""COMPUTED_VALUE"""),642619.0)</f>
        <v>642619</v>
      </c>
      <c r="B449" s="2">
        <f>IFERROR(__xludf.DUMMYFUNCTION("""COMPUTED_VALUE"""),42749.14074738581)</f>
        <v>42749.14075</v>
      </c>
      <c r="C449" s="1" t="str">
        <f>IFERROR(__xludf.DUMMYFUNCTION("""COMPUTED_VALUE"""),"treatment")</f>
        <v>treatment</v>
      </c>
      <c r="D449" s="1" t="str">
        <f>IFERROR(__xludf.DUMMYFUNCTION("""COMPUTED_VALUE"""),"new_page")</f>
        <v>new_page</v>
      </c>
      <c r="E449" s="1">
        <f>IFERROR(__xludf.DUMMYFUNCTION("""COMPUTED_VALUE"""),0.0)</f>
        <v>0</v>
      </c>
    </row>
    <row r="450">
      <c r="A450" s="1">
        <f>IFERROR(__xludf.DUMMYFUNCTION("""COMPUTED_VALUE"""),818071.0)</f>
        <v>818071</v>
      </c>
      <c r="B450" s="2">
        <f>IFERROR(__xludf.DUMMYFUNCTION("""COMPUTED_VALUE"""),42748.026831534466)</f>
        <v>42748.02683</v>
      </c>
      <c r="C450" s="1" t="str">
        <f>IFERROR(__xludf.DUMMYFUNCTION("""COMPUTED_VALUE"""),"control")</f>
        <v>control</v>
      </c>
      <c r="D450" s="1" t="str">
        <f>IFERROR(__xludf.DUMMYFUNCTION("""COMPUTED_VALUE"""),"old_page")</f>
        <v>old_page</v>
      </c>
      <c r="E450" s="1">
        <f>IFERROR(__xludf.DUMMYFUNCTION("""COMPUTED_VALUE"""),0.0)</f>
        <v>0</v>
      </c>
    </row>
    <row r="451">
      <c r="A451" s="1">
        <f>IFERROR(__xludf.DUMMYFUNCTION("""COMPUTED_VALUE"""),641850.0)</f>
        <v>641850</v>
      </c>
      <c r="B451" s="2">
        <f>IFERROR(__xludf.DUMMYFUNCTION("""COMPUTED_VALUE"""),42754.69692345386)</f>
        <v>42754.69692</v>
      </c>
      <c r="C451" s="1" t="str">
        <f>IFERROR(__xludf.DUMMYFUNCTION("""COMPUTED_VALUE"""),"control")</f>
        <v>control</v>
      </c>
      <c r="D451" s="1" t="str">
        <f>IFERROR(__xludf.DUMMYFUNCTION("""COMPUTED_VALUE"""),"old_page")</f>
        <v>old_page</v>
      </c>
      <c r="E451" s="1">
        <f>IFERROR(__xludf.DUMMYFUNCTION("""COMPUTED_VALUE"""),0.0)</f>
        <v>0</v>
      </c>
    </row>
    <row r="452">
      <c r="A452" s="1">
        <f>IFERROR(__xludf.DUMMYFUNCTION("""COMPUTED_VALUE"""),884712.0)</f>
        <v>884712</v>
      </c>
      <c r="B452" s="2">
        <f>IFERROR(__xludf.DUMMYFUNCTION("""COMPUTED_VALUE"""),42753.14369126645)</f>
        <v>42753.14369</v>
      </c>
      <c r="C452" s="1" t="str">
        <f>IFERROR(__xludf.DUMMYFUNCTION("""COMPUTED_VALUE"""),"treatment")</f>
        <v>treatment</v>
      </c>
      <c r="D452" s="1" t="str">
        <f>IFERROR(__xludf.DUMMYFUNCTION("""COMPUTED_VALUE"""),"new_page")</f>
        <v>new_page</v>
      </c>
      <c r="E452" s="1">
        <f>IFERROR(__xludf.DUMMYFUNCTION("""COMPUTED_VALUE"""),0.0)</f>
        <v>0</v>
      </c>
    </row>
    <row r="453">
      <c r="A453" s="1">
        <f>IFERROR(__xludf.DUMMYFUNCTION("""COMPUTED_VALUE"""),807161.0)</f>
        <v>807161</v>
      </c>
      <c r="B453" s="2">
        <f>IFERROR(__xludf.DUMMYFUNCTION("""COMPUTED_VALUE"""),42750.87104564498)</f>
        <v>42750.87105</v>
      </c>
      <c r="C453" s="1" t="str">
        <f>IFERROR(__xludf.DUMMYFUNCTION("""COMPUTED_VALUE"""),"control")</f>
        <v>control</v>
      </c>
      <c r="D453" s="1" t="str">
        <f>IFERROR(__xludf.DUMMYFUNCTION("""COMPUTED_VALUE"""),"old_page")</f>
        <v>old_page</v>
      </c>
      <c r="E453" s="1">
        <f>IFERROR(__xludf.DUMMYFUNCTION("""COMPUTED_VALUE"""),1.0)</f>
        <v>1</v>
      </c>
    </row>
    <row r="454">
      <c r="A454" s="1">
        <f>IFERROR(__xludf.DUMMYFUNCTION("""COMPUTED_VALUE"""),852362.0)</f>
        <v>852362</v>
      </c>
      <c r="B454" s="2">
        <f>IFERROR(__xludf.DUMMYFUNCTION("""COMPUTED_VALUE"""),42744.27111601002)</f>
        <v>42744.27112</v>
      </c>
      <c r="C454" s="1" t="str">
        <f>IFERROR(__xludf.DUMMYFUNCTION("""COMPUTED_VALUE"""),"control")</f>
        <v>control</v>
      </c>
      <c r="D454" s="1" t="str">
        <f>IFERROR(__xludf.DUMMYFUNCTION("""COMPUTED_VALUE"""),"old_page")</f>
        <v>old_page</v>
      </c>
      <c r="E454" s="1">
        <f>IFERROR(__xludf.DUMMYFUNCTION("""COMPUTED_VALUE"""),0.0)</f>
        <v>0</v>
      </c>
    </row>
    <row r="455">
      <c r="A455" s="1">
        <f>IFERROR(__xludf.DUMMYFUNCTION("""COMPUTED_VALUE"""),735587.0)</f>
        <v>735587</v>
      </c>
      <c r="B455" s="2">
        <f>IFERROR(__xludf.DUMMYFUNCTION("""COMPUTED_VALUE"""),42741.550972590914)</f>
        <v>42741.55097</v>
      </c>
      <c r="C455" s="1" t="str">
        <f>IFERROR(__xludf.DUMMYFUNCTION("""COMPUTED_VALUE"""),"treatment")</f>
        <v>treatment</v>
      </c>
      <c r="D455" s="1" t="str">
        <f>IFERROR(__xludf.DUMMYFUNCTION("""COMPUTED_VALUE"""),"new_page")</f>
        <v>new_page</v>
      </c>
      <c r="E455" s="1">
        <f>IFERROR(__xludf.DUMMYFUNCTION("""COMPUTED_VALUE"""),0.0)</f>
        <v>0</v>
      </c>
    </row>
    <row r="456">
      <c r="A456" s="1">
        <f>IFERROR(__xludf.DUMMYFUNCTION("""COMPUTED_VALUE"""),785240.0)</f>
        <v>785240</v>
      </c>
      <c r="B456" s="2">
        <f>IFERROR(__xludf.DUMMYFUNCTION("""COMPUTED_VALUE"""),42753.381893591795)</f>
        <v>42753.38189</v>
      </c>
      <c r="C456" s="1" t="str">
        <f>IFERROR(__xludf.DUMMYFUNCTION("""COMPUTED_VALUE"""),"control")</f>
        <v>control</v>
      </c>
      <c r="D456" s="1" t="str">
        <f>IFERROR(__xludf.DUMMYFUNCTION("""COMPUTED_VALUE"""),"old_page")</f>
        <v>old_page</v>
      </c>
      <c r="E456" s="1">
        <f>IFERROR(__xludf.DUMMYFUNCTION("""COMPUTED_VALUE"""),0.0)</f>
        <v>0</v>
      </c>
    </row>
    <row r="457">
      <c r="A457" s="1">
        <f>IFERROR(__xludf.DUMMYFUNCTION("""COMPUTED_VALUE"""),944648.0)</f>
        <v>944648</v>
      </c>
      <c r="B457" s="2">
        <f>IFERROR(__xludf.DUMMYFUNCTION("""COMPUTED_VALUE"""),42746.88718972639)</f>
        <v>42746.88719</v>
      </c>
      <c r="C457" s="1" t="str">
        <f>IFERROR(__xludf.DUMMYFUNCTION("""COMPUTED_VALUE"""),"control")</f>
        <v>control</v>
      </c>
      <c r="D457" s="1" t="str">
        <f>IFERROR(__xludf.DUMMYFUNCTION("""COMPUTED_VALUE"""),"old_page")</f>
        <v>old_page</v>
      </c>
      <c r="E457" s="1">
        <f>IFERROR(__xludf.DUMMYFUNCTION("""COMPUTED_VALUE"""),0.0)</f>
        <v>0</v>
      </c>
    </row>
    <row r="458">
      <c r="A458" s="1">
        <f>IFERROR(__xludf.DUMMYFUNCTION("""COMPUTED_VALUE"""),864258.0)</f>
        <v>864258</v>
      </c>
      <c r="B458" s="2">
        <f>IFERROR(__xludf.DUMMYFUNCTION("""COMPUTED_VALUE"""),42748.20815917767)</f>
        <v>42748.20816</v>
      </c>
      <c r="C458" s="1" t="str">
        <f>IFERROR(__xludf.DUMMYFUNCTION("""COMPUTED_VALUE"""),"control")</f>
        <v>control</v>
      </c>
      <c r="D458" s="1" t="str">
        <f>IFERROR(__xludf.DUMMYFUNCTION("""COMPUTED_VALUE"""),"old_page")</f>
        <v>old_page</v>
      </c>
      <c r="E458" s="1">
        <f>IFERROR(__xludf.DUMMYFUNCTION("""COMPUTED_VALUE"""),1.0)</f>
        <v>1</v>
      </c>
    </row>
    <row r="459">
      <c r="A459" s="1">
        <f>IFERROR(__xludf.DUMMYFUNCTION("""COMPUTED_VALUE"""),863716.0)</f>
        <v>863716</v>
      </c>
      <c r="B459" s="2">
        <f>IFERROR(__xludf.DUMMYFUNCTION("""COMPUTED_VALUE"""),42753.243374550126)</f>
        <v>42753.24337</v>
      </c>
      <c r="C459" s="1" t="str">
        <f>IFERROR(__xludf.DUMMYFUNCTION("""COMPUTED_VALUE"""),"treatment")</f>
        <v>treatment</v>
      </c>
      <c r="D459" s="1" t="str">
        <f>IFERROR(__xludf.DUMMYFUNCTION("""COMPUTED_VALUE"""),"new_page")</f>
        <v>new_page</v>
      </c>
      <c r="E459" s="1">
        <f>IFERROR(__xludf.DUMMYFUNCTION("""COMPUTED_VALUE"""),0.0)</f>
        <v>0</v>
      </c>
    </row>
    <row r="460">
      <c r="A460" s="1">
        <f>IFERROR(__xludf.DUMMYFUNCTION("""COMPUTED_VALUE"""),930565.0)</f>
        <v>930565</v>
      </c>
      <c r="B460" s="2">
        <f>IFERROR(__xludf.DUMMYFUNCTION("""COMPUTED_VALUE"""),42745.30584565159)</f>
        <v>42745.30585</v>
      </c>
      <c r="C460" s="1" t="str">
        <f>IFERROR(__xludf.DUMMYFUNCTION("""COMPUTED_VALUE"""),"control")</f>
        <v>control</v>
      </c>
      <c r="D460" s="1" t="str">
        <f>IFERROR(__xludf.DUMMYFUNCTION("""COMPUTED_VALUE"""),"old_page")</f>
        <v>old_page</v>
      </c>
      <c r="E460" s="1">
        <f>IFERROR(__xludf.DUMMYFUNCTION("""COMPUTED_VALUE"""),0.0)</f>
        <v>0</v>
      </c>
    </row>
    <row r="461">
      <c r="A461" s="1">
        <f>IFERROR(__xludf.DUMMYFUNCTION("""COMPUTED_VALUE"""),764113.0)</f>
        <v>764113</v>
      </c>
      <c r="B461" s="2">
        <f>IFERROR(__xludf.DUMMYFUNCTION("""COMPUTED_VALUE"""),42752.312442682)</f>
        <v>42752.31244</v>
      </c>
      <c r="C461" s="1" t="str">
        <f>IFERROR(__xludf.DUMMYFUNCTION("""COMPUTED_VALUE"""),"treatment")</f>
        <v>treatment</v>
      </c>
      <c r="D461" s="1" t="str">
        <f>IFERROR(__xludf.DUMMYFUNCTION("""COMPUTED_VALUE"""),"new_page")</f>
        <v>new_page</v>
      </c>
      <c r="E461" s="1">
        <f>IFERROR(__xludf.DUMMYFUNCTION("""COMPUTED_VALUE"""),0.0)</f>
        <v>0</v>
      </c>
    </row>
    <row r="462">
      <c r="A462" s="1">
        <f>IFERROR(__xludf.DUMMYFUNCTION("""COMPUTED_VALUE"""),825243.0)</f>
        <v>825243</v>
      </c>
      <c r="B462" s="2">
        <f>IFERROR(__xludf.DUMMYFUNCTION("""COMPUTED_VALUE"""),42745.2600295408)</f>
        <v>42745.26003</v>
      </c>
      <c r="C462" s="1" t="str">
        <f>IFERROR(__xludf.DUMMYFUNCTION("""COMPUTED_VALUE"""),"control")</f>
        <v>control</v>
      </c>
      <c r="D462" s="1" t="str">
        <f>IFERROR(__xludf.DUMMYFUNCTION("""COMPUTED_VALUE"""),"old_page")</f>
        <v>old_page</v>
      </c>
      <c r="E462" s="1">
        <f>IFERROR(__xludf.DUMMYFUNCTION("""COMPUTED_VALUE"""),0.0)</f>
        <v>0</v>
      </c>
    </row>
    <row r="463">
      <c r="A463" s="1">
        <f>IFERROR(__xludf.DUMMYFUNCTION("""COMPUTED_VALUE"""),713968.0)</f>
        <v>713968</v>
      </c>
      <c r="B463" s="2">
        <f>IFERROR(__xludf.DUMMYFUNCTION("""COMPUTED_VALUE"""),42759.13777377524)</f>
        <v>42759.13777</v>
      </c>
      <c r="C463" s="1" t="str">
        <f>IFERROR(__xludf.DUMMYFUNCTION("""COMPUTED_VALUE"""),"treatment")</f>
        <v>treatment</v>
      </c>
      <c r="D463" s="1" t="str">
        <f>IFERROR(__xludf.DUMMYFUNCTION("""COMPUTED_VALUE"""),"new_page")</f>
        <v>new_page</v>
      </c>
      <c r="E463" s="1">
        <f>IFERROR(__xludf.DUMMYFUNCTION("""COMPUTED_VALUE"""),0.0)</f>
        <v>0</v>
      </c>
    </row>
    <row r="464">
      <c r="A464" s="1">
        <f>IFERROR(__xludf.DUMMYFUNCTION("""COMPUTED_VALUE"""),850438.0)</f>
        <v>850438</v>
      </c>
      <c r="B464" s="2">
        <f>IFERROR(__xludf.DUMMYFUNCTION("""COMPUTED_VALUE"""),42755.300776778415)</f>
        <v>42755.30078</v>
      </c>
      <c r="C464" s="1" t="str">
        <f>IFERROR(__xludf.DUMMYFUNCTION("""COMPUTED_VALUE"""),"control")</f>
        <v>control</v>
      </c>
      <c r="D464" s="1" t="str">
        <f>IFERROR(__xludf.DUMMYFUNCTION("""COMPUTED_VALUE"""),"old_page")</f>
        <v>old_page</v>
      </c>
      <c r="E464" s="1">
        <f>IFERROR(__xludf.DUMMYFUNCTION("""COMPUTED_VALUE"""),0.0)</f>
        <v>0</v>
      </c>
    </row>
    <row r="465">
      <c r="A465" s="1">
        <f>IFERROR(__xludf.DUMMYFUNCTION("""COMPUTED_VALUE"""),690434.0)</f>
        <v>690434</v>
      </c>
      <c r="B465" s="2">
        <f>IFERROR(__xludf.DUMMYFUNCTION("""COMPUTED_VALUE"""),42740.04658626118)</f>
        <v>42740.04659</v>
      </c>
      <c r="C465" s="1" t="str">
        <f>IFERROR(__xludf.DUMMYFUNCTION("""COMPUTED_VALUE"""),"control")</f>
        <v>control</v>
      </c>
      <c r="D465" s="1" t="str">
        <f>IFERROR(__xludf.DUMMYFUNCTION("""COMPUTED_VALUE"""),"old_page")</f>
        <v>old_page</v>
      </c>
      <c r="E465" s="1">
        <f>IFERROR(__xludf.DUMMYFUNCTION("""COMPUTED_VALUE"""),0.0)</f>
        <v>0</v>
      </c>
    </row>
    <row r="466">
      <c r="A466" s="1">
        <f>IFERROR(__xludf.DUMMYFUNCTION("""COMPUTED_VALUE"""),901447.0)</f>
        <v>901447</v>
      </c>
      <c r="B466" s="2">
        <f>IFERROR(__xludf.DUMMYFUNCTION("""COMPUTED_VALUE"""),42754.792281903334)</f>
        <v>42754.79228</v>
      </c>
      <c r="C466" s="1" t="str">
        <f>IFERROR(__xludf.DUMMYFUNCTION("""COMPUTED_VALUE"""),"control")</f>
        <v>control</v>
      </c>
      <c r="D466" s="1" t="str">
        <f>IFERROR(__xludf.DUMMYFUNCTION("""COMPUTED_VALUE"""),"old_page")</f>
        <v>old_page</v>
      </c>
      <c r="E466" s="1">
        <f>IFERROR(__xludf.DUMMYFUNCTION("""COMPUTED_VALUE"""),0.0)</f>
        <v>0</v>
      </c>
    </row>
    <row r="467">
      <c r="A467" s="1">
        <f>IFERROR(__xludf.DUMMYFUNCTION("""COMPUTED_VALUE"""),664031.0)</f>
        <v>664031</v>
      </c>
      <c r="B467" s="2">
        <f>IFERROR(__xludf.DUMMYFUNCTION("""COMPUTED_VALUE"""),42741.68695420815)</f>
        <v>42741.68695</v>
      </c>
      <c r="C467" s="1" t="str">
        <f>IFERROR(__xludf.DUMMYFUNCTION("""COMPUTED_VALUE"""),"treatment")</f>
        <v>treatment</v>
      </c>
      <c r="D467" s="1" t="str">
        <f>IFERROR(__xludf.DUMMYFUNCTION("""COMPUTED_VALUE"""),"new_page")</f>
        <v>new_page</v>
      </c>
      <c r="E467" s="1">
        <f>IFERROR(__xludf.DUMMYFUNCTION("""COMPUTED_VALUE"""),0.0)</f>
        <v>0</v>
      </c>
    </row>
    <row r="468">
      <c r="A468" s="1">
        <f>IFERROR(__xludf.DUMMYFUNCTION("""COMPUTED_VALUE"""),913339.0)</f>
        <v>913339</v>
      </c>
      <c r="B468" s="2">
        <f>IFERROR(__xludf.DUMMYFUNCTION("""COMPUTED_VALUE"""),42759.10103785388)</f>
        <v>42759.10104</v>
      </c>
      <c r="C468" s="1" t="str">
        <f>IFERROR(__xludf.DUMMYFUNCTION("""COMPUTED_VALUE"""),"control")</f>
        <v>control</v>
      </c>
      <c r="D468" s="1" t="str">
        <f>IFERROR(__xludf.DUMMYFUNCTION("""COMPUTED_VALUE"""),"old_page")</f>
        <v>old_page</v>
      </c>
      <c r="E468" s="1">
        <f>IFERROR(__xludf.DUMMYFUNCTION("""COMPUTED_VALUE"""),0.0)</f>
        <v>0</v>
      </c>
    </row>
    <row r="469">
      <c r="A469" s="1">
        <f>IFERROR(__xludf.DUMMYFUNCTION("""COMPUTED_VALUE"""),685855.0)</f>
        <v>685855</v>
      </c>
      <c r="B469" s="2">
        <f>IFERROR(__xludf.DUMMYFUNCTION("""COMPUTED_VALUE"""),42753.23709630347)</f>
        <v>42753.2371</v>
      </c>
      <c r="C469" s="1" t="str">
        <f>IFERROR(__xludf.DUMMYFUNCTION("""COMPUTED_VALUE"""),"treatment")</f>
        <v>treatment</v>
      </c>
      <c r="D469" s="1" t="str">
        <f>IFERROR(__xludf.DUMMYFUNCTION("""COMPUTED_VALUE"""),"new_page")</f>
        <v>new_page</v>
      </c>
      <c r="E469" s="1">
        <f>IFERROR(__xludf.DUMMYFUNCTION("""COMPUTED_VALUE"""),0.0)</f>
        <v>0</v>
      </c>
    </row>
    <row r="470">
      <c r="A470" s="1">
        <f>IFERROR(__xludf.DUMMYFUNCTION("""COMPUTED_VALUE"""),674194.0)</f>
        <v>674194</v>
      </c>
      <c r="B470" s="2">
        <f>IFERROR(__xludf.DUMMYFUNCTION("""COMPUTED_VALUE"""),42747.61981122157)</f>
        <v>42747.61981</v>
      </c>
      <c r="C470" s="1" t="str">
        <f>IFERROR(__xludf.DUMMYFUNCTION("""COMPUTED_VALUE"""),"control")</f>
        <v>control</v>
      </c>
      <c r="D470" s="1" t="str">
        <f>IFERROR(__xludf.DUMMYFUNCTION("""COMPUTED_VALUE"""),"old_page")</f>
        <v>old_page</v>
      </c>
      <c r="E470" s="1">
        <f>IFERROR(__xludf.DUMMYFUNCTION("""COMPUTED_VALUE"""),0.0)</f>
        <v>0</v>
      </c>
    </row>
    <row r="471">
      <c r="A471" s="1">
        <f>IFERROR(__xludf.DUMMYFUNCTION("""COMPUTED_VALUE"""),720815.0)</f>
        <v>720815</v>
      </c>
      <c r="B471" s="2">
        <f>IFERROR(__xludf.DUMMYFUNCTION("""COMPUTED_VALUE"""),42758.868285764955)</f>
        <v>42758.86829</v>
      </c>
      <c r="C471" s="1" t="str">
        <f>IFERROR(__xludf.DUMMYFUNCTION("""COMPUTED_VALUE"""),"control")</f>
        <v>control</v>
      </c>
      <c r="D471" s="1" t="str">
        <f>IFERROR(__xludf.DUMMYFUNCTION("""COMPUTED_VALUE"""),"old_page")</f>
        <v>old_page</v>
      </c>
      <c r="E471" s="1">
        <f>IFERROR(__xludf.DUMMYFUNCTION("""COMPUTED_VALUE"""),0.0)</f>
        <v>0</v>
      </c>
    </row>
    <row r="472">
      <c r="A472" s="1">
        <f>IFERROR(__xludf.DUMMYFUNCTION("""COMPUTED_VALUE"""),892459.0)</f>
        <v>892459</v>
      </c>
      <c r="B472" s="2">
        <f>IFERROR(__xludf.DUMMYFUNCTION("""COMPUTED_VALUE"""),42755.69241004729)</f>
        <v>42755.69241</v>
      </c>
      <c r="C472" s="1" t="str">
        <f>IFERROR(__xludf.DUMMYFUNCTION("""COMPUTED_VALUE"""),"control")</f>
        <v>control</v>
      </c>
      <c r="D472" s="1" t="str">
        <f>IFERROR(__xludf.DUMMYFUNCTION("""COMPUTED_VALUE"""),"old_page")</f>
        <v>old_page</v>
      </c>
      <c r="E472" s="1">
        <f>IFERROR(__xludf.DUMMYFUNCTION("""COMPUTED_VALUE"""),0.0)</f>
        <v>0</v>
      </c>
    </row>
    <row r="473">
      <c r="A473" s="1">
        <f>IFERROR(__xludf.DUMMYFUNCTION("""COMPUTED_VALUE"""),939177.0)</f>
        <v>939177</v>
      </c>
      <c r="B473" s="2">
        <f>IFERROR(__xludf.DUMMYFUNCTION("""COMPUTED_VALUE"""),42755.8671056783)</f>
        <v>42755.86711</v>
      </c>
      <c r="C473" s="1" t="str">
        <f>IFERROR(__xludf.DUMMYFUNCTION("""COMPUTED_VALUE"""),"control")</f>
        <v>control</v>
      </c>
      <c r="D473" s="1" t="str">
        <f>IFERROR(__xludf.DUMMYFUNCTION("""COMPUTED_VALUE"""),"old_page")</f>
        <v>old_page</v>
      </c>
      <c r="E473" s="1">
        <f>IFERROR(__xludf.DUMMYFUNCTION("""COMPUTED_VALUE"""),0.0)</f>
        <v>0</v>
      </c>
    </row>
    <row r="474">
      <c r="A474" s="1">
        <f>IFERROR(__xludf.DUMMYFUNCTION("""COMPUTED_VALUE"""),831672.0)</f>
        <v>831672</v>
      </c>
      <c r="B474" s="2">
        <f>IFERROR(__xludf.DUMMYFUNCTION("""COMPUTED_VALUE"""),42737.72467811894)</f>
        <v>42737.72468</v>
      </c>
      <c r="C474" s="1" t="str">
        <f>IFERROR(__xludf.DUMMYFUNCTION("""COMPUTED_VALUE"""),"treatment")</f>
        <v>treatment</v>
      </c>
      <c r="D474" s="1" t="str">
        <f>IFERROR(__xludf.DUMMYFUNCTION("""COMPUTED_VALUE"""),"new_page")</f>
        <v>new_page</v>
      </c>
      <c r="E474" s="1">
        <f>IFERROR(__xludf.DUMMYFUNCTION("""COMPUTED_VALUE"""),1.0)</f>
        <v>1</v>
      </c>
    </row>
    <row r="475">
      <c r="A475" s="1">
        <f>IFERROR(__xludf.DUMMYFUNCTION("""COMPUTED_VALUE"""),804093.0)</f>
        <v>804093</v>
      </c>
      <c r="B475" s="2">
        <f>IFERROR(__xludf.DUMMYFUNCTION("""COMPUTED_VALUE"""),42746.80858003379)</f>
        <v>42746.80858</v>
      </c>
      <c r="C475" s="1" t="str">
        <f>IFERROR(__xludf.DUMMYFUNCTION("""COMPUTED_VALUE"""),"control")</f>
        <v>control</v>
      </c>
      <c r="D475" s="1" t="str">
        <f>IFERROR(__xludf.DUMMYFUNCTION("""COMPUTED_VALUE"""),"old_page")</f>
        <v>old_page</v>
      </c>
      <c r="E475" s="1">
        <f>IFERROR(__xludf.DUMMYFUNCTION("""COMPUTED_VALUE"""),1.0)</f>
        <v>1</v>
      </c>
    </row>
    <row r="476">
      <c r="A476" s="1">
        <f>IFERROR(__xludf.DUMMYFUNCTION("""COMPUTED_VALUE"""),671614.0)</f>
        <v>671614</v>
      </c>
      <c r="B476" s="2">
        <f>IFERROR(__xludf.DUMMYFUNCTION("""COMPUTED_VALUE"""),42745.36912960639)</f>
        <v>42745.36913</v>
      </c>
      <c r="C476" s="1" t="str">
        <f>IFERROR(__xludf.DUMMYFUNCTION("""COMPUTED_VALUE"""),"treatment")</f>
        <v>treatment</v>
      </c>
      <c r="D476" s="1" t="str">
        <f>IFERROR(__xludf.DUMMYFUNCTION("""COMPUTED_VALUE"""),"new_page")</f>
        <v>new_page</v>
      </c>
      <c r="E476" s="1">
        <f>IFERROR(__xludf.DUMMYFUNCTION("""COMPUTED_VALUE"""),0.0)</f>
        <v>0</v>
      </c>
    </row>
    <row r="477">
      <c r="A477" s="1">
        <f>IFERROR(__xludf.DUMMYFUNCTION("""COMPUTED_VALUE"""),840399.0)</f>
        <v>840399</v>
      </c>
      <c r="B477" s="2">
        <f>IFERROR(__xludf.DUMMYFUNCTION("""COMPUTED_VALUE"""),42747.110702435246)</f>
        <v>42747.1107</v>
      </c>
      <c r="C477" s="1" t="str">
        <f>IFERROR(__xludf.DUMMYFUNCTION("""COMPUTED_VALUE"""),"control")</f>
        <v>control</v>
      </c>
      <c r="D477" s="1" t="str">
        <f>IFERROR(__xludf.DUMMYFUNCTION("""COMPUTED_VALUE"""),"old_page")</f>
        <v>old_page</v>
      </c>
      <c r="E477" s="1">
        <f>IFERROR(__xludf.DUMMYFUNCTION("""COMPUTED_VALUE"""),0.0)</f>
        <v>0</v>
      </c>
    </row>
    <row r="478">
      <c r="A478" s="1">
        <f>IFERROR(__xludf.DUMMYFUNCTION("""COMPUTED_VALUE"""),837996.0)</f>
        <v>837996</v>
      </c>
      <c r="B478" s="2">
        <f>IFERROR(__xludf.DUMMYFUNCTION("""COMPUTED_VALUE"""),42750.5270618721)</f>
        <v>42750.52706</v>
      </c>
      <c r="C478" s="1" t="str">
        <f>IFERROR(__xludf.DUMMYFUNCTION("""COMPUTED_VALUE"""),"treatment")</f>
        <v>treatment</v>
      </c>
      <c r="D478" s="1" t="str">
        <f>IFERROR(__xludf.DUMMYFUNCTION("""COMPUTED_VALUE"""),"new_page")</f>
        <v>new_page</v>
      </c>
      <c r="E478" s="1">
        <f>IFERROR(__xludf.DUMMYFUNCTION("""COMPUTED_VALUE"""),0.0)</f>
        <v>0</v>
      </c>
    </row>
    <row r="479">
      <c r="A479" s="1">
        <f>IFERROR(__xludf.DUMMYFUNCTION("""COMPUTED_VALUE"""),844817.0)</f>
        <v>844817</v>
      </c>
      <c r="B479" s="2">
        <f>IFERROR(__xludf.DUMMYFUNCTION("""COMPUTED_VALUE"""),42755.48977219478)</f>
        <v>42755.48977</v>
      </c>
      <c r="C479" s="1" t="str">
        <f>IFERROR(__xludf.DUMMYFUNCTION("""COMPUTED_VALUE"""),"control")</f>
        <v>control</v>
      </c>
      <c r="D479" s="1" t="str">
        <f>IFERROR(__xludf.DUMMYFUNCTION("""COMPUTED_VALUE"""),"old_page")</f>
        <v>old_page</v>
      </c>
      <c r="E479" s="1">
        <f>IFERROR(__xludf.DUMMYFUNCTION("""COMPUTED_VALUE"""),0.0)</f>
        <v>0</v>
      </c>
    </row>
    <row r="480">
      <c r="A480" s="1">
        <f>IFERROR(__xludf.DUMMYFUNCTION("""COMPUTED_VALUE"""),867227.0)</f>
        <v>867227</v>
      </c>
      <c r="B480" s="2">
        <f>IFERROR(__xludf.DUMMYFUNCTION("""COMPUTED_VALUE"""),42741.310546201574)</f>
        <v>42741.31055</v>
      </c>
      <c r="C480" s="1" t="str">
        <f>IFERROR(__xludf.DUMMYFUNCTION("""COMPUTED_VALUE"""),"control")</f>
        <v>control</v>
      </c>
      <c r="D480" s="1" t="str">
        <f>IFERROR(__xludf.DUMMYFUNCTION("""COMPUTED_VALUE"""),"old_page")</f>
        <v>old_page</v>
      </c>
      <c r="E480" s="1">
        <f>IFERROR(__xludf.DUMMYFUNCTION("""COMPUTED_VALUE"""),1.0)</f>
        <v>1</v>
      </c>
    </row>
    <row r="481">
      <c r="A481" s="1">
        <f>IFERROR(__xludf.DUMMYFUNCTION("""COMPUTED_VALUE"""),790335.0)</f>
        <v>790335</v>
      </c>
      <c r="B481" s="2">
        <f>IFERROR(__xludf.DUMMYFUNCTION("""COMPUTED_VALUE"""),42745.15822148343)</f>
        <v>42745.15822</v>
      </c>
      <c r="C481" s="1" t="str">
        <f>IFERROR(__xludf.DUMMYFUNCTION("""COMPUTED_VALUE"""),"control")</f>
        <v>control</v>
      </c>
      <c r="D481" s="1" t="str">
        <f>IFERROR(__xludf.DUMMYFUNCTION("""COMPUTED_VALUE"""),"old_page")</f>
        <v>old_page</v>
      </c>
      <c r="E481" s="1">
        <f>IFERROR(__xludf.DUMMYFUNCTION("""COMPUTED_VALUE"""),0.0)</f>
        <v>0</v>
      </c>
    </row>
    <row r="482">
      <c r="A482" s="1">
        <f>IFERROR(__xludf.DUMMYFUNCTION("""COMPUTED_VALUE"""),735203.0)</f>
        <v>735203</v>
      </c>
      <c r="B482" s="2">
        <f>IFERROR(__xludf.DUMMYFUNCTION("""COMPUTED_VALUE"""),42758.642471307176)</f>
        <v>42758.64247</v>
      </c>
      <c r="C482" s="1" t="str">
        <f>IFERROR(__xludf.DUMMYFUNCTION("""COMPUTED_VALUE"""),"treatment")</f>
        <v>treatment</v>
      </c>
      <c r="D482" s="1" t="str">
        <f>IFERROR(__xludf.DUMMYFUNCTION("""COMPUTED_VALUE"""),"new_page")</f>
        <v>new_page</v>
      </c>
      <c r="E482" s="1">
        <f>IFERROR(__xludf.DUMMYFUNCTION("""COMPUTED_VALUE"""),0.0)</f>
        <v>0</v>
      </c>
    </row>
    <row r="483">
      <c r="A483" s="1">
        <f>IFERROR(__xludf.DUMMYFUNCTION("""COMPUTED_VALUE"""),697226.0)</f>
        <v>697226</v>
      </c>
      <c r="B483" s="2">
        <f>IFERROR(__xludf.DUMMYFUNCTION("""COMPUTED_VALUE"""),42749.233958410165)</f>
        <v>42749.23396</v>
      </c>
      <c r="C483" s="1" t="str">
        <f>IFERROR(__xludf.DUMMYFUNCTION("""COMPUTED_VALUE"""),"treatment")</f>
        <v>treatment</v>
      </c>
      <c r="D483" s="1" t="str">
        <f>IFERROR(__xludf.DUMMYFUNCTION("""COMPUTED_VALUE"""),"new_page")</f>
        <v>new_page</v>
      </c>
      <c r="E483" s="1">
        <f>IFERROR(__xludf.DUMMYFUNCTION("""COMPUTED_VALUE"""),0.0)</f>
        <v>0</v>
      </c>
    </row>
    <row r="484">
      <c r="A484" s="1">
        <f>IFERROR(__xludf.DUMMYFUNCTION("""COMPUTED_VALUE"""),732918.0)</f>
        <v>732918</v>
      </c>
      <c r="B484" s="2">
        <f>IFERROR(__xludf.DUMMYFUNCTION("""COMPUTED_VALUE"""),42743.1687237461)</f>
        <v>42743.16872</v>
      </c>
      <c r="C484" s="1" t="str">
        <f>IFERROR(__xludf.DUMMYFUNCTION("""COMPUTED_VALUE"""),"control")</f>
        <v>control</v>
      </c>
      <c r="D484" s="1" t="str">
        <f>IFERROR(__xludf.DUMMYFUNCTION("""COMPUTED_VALUE"""),"old_page")</f>
        <v>old_page</v>
      </c>
      <c r="E484" s="1">
        <f>IFERROR(__xludf.DUMMYFUNCTION("""COMPUTED_VALUE"""),0.0)</f>
        <v>0</v>
      </c>
    </row>
    <row r="485">
      <c r="A485" s="1">
        <f>IFERROR(__xludf.DUMMYFUNCTION("""COMPUTED_VALUE"""),862903.0)</f>
        <v>862903</v>
      </c>
      <c r="B485" s="2">
        <f>IFERROR(__xludf.DUMMYFUNCTION("""COMPUTED_VALUE"""),42749.05904068244)</f>
        <v>42749.05904</v>
      </c>
      <c r="C485" s="1" t="str">
        <f>IFERROR(__xludf.DUMMYFUNCTION("""COMPUTED_VALUE"""),"treatment")</f>
        <v>treatment</v>
      </c>
      <c r="D485" s="1" t="str">
        <f>IFERROR(__xludf.DUMMYFUNCTION("""COMPUTED_VALUE"""),"new_page")</f>
        <v>new_page</v>
      </c>
      <c r="E485" s="1">
        <f>IFERROR(__xludf.DUMMYFUNCTION("""COMPUTED_VALUE"""),0.0)</f>
        <v>0</v>
      </c>
    </row>
    <row r="486">
      <c r="A486" s="1">
        <f>IFERROR(__xludf.DUMMYFUNCTION("""COMPUTED_VALUE"""),726011.0)</f>
        <v>726011</v>
      </c>
      <c r="B486" s="2">
        <f>IFERROR(__xludf.DUMMYFUNCTION("""COMPUTED_VALUE"""),42749.69221505046)</f>
        <v>42749.69222</v>
      </c>
      <c r="C486" s="1" t="str">
        <f>IFERROR(__xludf.DUMMYFUNCTION("""COMPUTED_VALUE"""),"control")</f>
        <v>control</v>
      </c>
      <c r="D486" s="1" t="str">
        <f>IFERROR(__xludf.DUMMYFUNCTION("""COMPUTED_VALUE"""),"old_page")</f>
        <v>old_page</v>
      </c>
      <c r="E486" s="1">
        <f>IFERROR(__xludf.DUMMYFUNCTION("""COMPUTED_VALUE"""),0.0)</f>
        <v>0</v>
      </c>
    </row>
    <row r="487">
      <c r="A487" s="1">
        <f>IFERROR(__xludf.DUMMYFUNCTION("""COMPUTED_VALUE"""),641897.0)</f>
        <v>641897</v>
      </c>
      <c r="B487" s="2">
        <f>IFERROR(__xludf.DUMMYFUNCTION("""COMPUTED_VALUE"""),42749.42164826344)</f>
        <v>42749.42165</v>
      </c>
      <c r="C487" s="1" t="str">
        <f>IFERROR(__xludf.DUMMYFUNCTION("""COMPUTED_VALUE"""),"control")</f>
        <v>control</v>
      </c>
      <c r="D487" s="1" t="str">
        <f>IFERROR(__xludf.DUMMYFUNCTION("""COMPUTED_VALUE"""),"old_page")</f>
        <v>old_page</v>
      </c>
      <c r="E487" s="1">
        <f>IFERROR(__xludf.DUMMYFUNCTION("""COMPUTED_VALUE"""),1.0)</f>
        <v>1</v>
      </c>
    </row>
    <row r="488">
      <c r="A488" s="1">
        <f>IFERROR(__xludf.DUMMYFUNCTION("""COMPUTED_VALUE"""),797895.0)</f>
        <v>797895</v>
      </c>
      <c r="B488" s="2">
        <f>IFERROR(__xludf.DUMMYFUNCTION("""COMPUTED_VALUE"""),42752.72150513723)</f>
        <v>42752.72151</v>
      </c>
      <c r="C488" s="1" t="str">
        <f>IFERROR(__xludf.DUMMYFUNCTION("""COMPUTED_VALUE"""),"control")</f>
        <v>control</v>
      </c>
      <c r="D488" s="1" t="str">
        <f>IFERROR(__xludf.DUMMYFUNCTION("""COMPUTED_VALUE"""),"old_page")</f>
        <v>old_page</v>
      </c>
      <c r="E488" s="1">
        <f>IFERROR(__xludf.DUMMYFUNCTION("""COMPUTED_VALUE"""),0.0)</f>
        <v>0</v>
      </c>
    </row>
    <row r="489">
      <c r="A489" s="1">
        <f>IFERROR(__xludf.DUMMYFUNCTION("""COMPUTED_VALUE"""),752367.0)</f>
        <v>752367</v>
      </c>
      <c r="B489" s="2">
        <f>IFERROR(__xludf.DUMMYFUNCTION("""COMPUTED_VALUE"""),42742.60561977792)</f>
        <v>42742.60562</v>
      </c>
      <c r="C489" s="1" t="str">
        <f>IFERROR(__xludf.DUMMYFUNCTION("""COMPUTED_VALUE"""),"control")</f>
        <v>control</v>
      </c>
      <c r="D489" s="1" t="str">
        <f>IFERROR(__xludf.DUMMYFUNCTION("""COMPUTED_VALUE"""),"old_page")</f>
        <v>old_page</v>
      </c>
      <c r="E489" s="1">
        <f>IFERROR(__xludf.DUMMYFUNCTION("""COMPUTED_VALUE"""),0.0)</f>
        <v>0</v>
      </c>
    </row>
    <row r="490">
      <c r="A490" s="1">
        <f>IFERROR(__xludf.DUMMYFUNCTION("""COMPUTED_VALUE"""),898138.0)</f>
        <v>898138</v>
      </c>
      <c r="B490" s="2">
        <f>IFERROR(__xludf.DUMMYFUNCTION("""COMPUTED_VALUE"""),42750.05586997713)</f>
        <v>42750.05587</v>
      </c>
      <c r="C490" s="1" t="str">
        <f>IFERROR(__xludf.DUMMYFUNCTION("""COMPUTED_VALUE"""),"treatment")</f>
        <v>treatment</v>
      </c>
      <c r="D490" s="1" t="str">
        <f>IFERROR(__xludf.DUMMYFUNCTION("""COMPUTED_VALUE"""),"new_page")</f>
        <v>new_page</v>
      </c>
      <c r="E490" s="1">
        <f>IFERROR(__xludf.DUMMYFUNCTION("""COMPUTED_VALUE"""),0.0)</f>
        <v>0</v>
      </c>
    </row>
    <row r="491">
      <c r="A491" s="1">
        <f>IFERROR(__xludf.DUMMYFUNCTION("""COMPUTED_VALUE"""),815285.0)</f>
        <v>815285</v>
      </c>
      <c r="B491" s="2">
        <f>IFERROR(__xludf.DUMMYFUNCTION("""COMPUTED_VALUE"""),42752.734721059)</f>
        <v>42752.73472</v>
      </c>
      <c r="C491" s="1" t="str">
        <f>IFERROR(__xludf.DUMMYFUNCTION("""COMPUTED_VALUE"""),"control")</f>
        <v>control</v>
      </c>
      <c r="D491" s="1" t="str">
        <f>IFERROR(__xludf.DUMMYFUNCTION("""COMPUTED_VALUE"""),"old_page")</f>
        <v>old_page</v>
      </c>
      <c r="E491" s="1">
        <f>IFERROR(__xludf.DUMMYFUNCTION("""COMPUTED_VALUE"""),0.0)</f>
        <v>0</v>
      </c>
    </row>
    <row r="492">
      <c r="A492" s="1">
        <f>IFERROR(__xludf.DUMMYFUNCTION("""COMPUTED_VALUE"""),808613.0)</f>
        <v>808613</v>
      </c>
      <c r="B492" s="2">
        <f>IFERROR(__xludf.DUMMYFUNCTION("""COMPUTED_VALUE"""),42745.905570518)</f>
        <v>42745.90557</v>
      </c>
      <c r="C492" s="1" t="str">
        <f>IFERROR(__xludf.DUMMYFUNCTION("""COMPUTED_VALUE"""),"control")</f>
        <v>control</v>
      </c>
      <c r="D492" s="1" t="str">
        <f>IFERROR(__xludf.DUMMYFUNCTION("""COMPUTED_VALUE"""),"new_page")</f>
        <v>new_page</v>
      </c>
      <c r="E492" s="1">
        <f>IFERROR(__xludf.DUMMYFUNCTION("""COMPUTED_VALUE"""),0.0)</f>
        <v>0</v>
      </c>
    </row>
    <row r="493">
      <c r="A493" s="1">
        <f>IFERROR(__xludf.DUMMYFUNCTION("""COMPUTED_VALUE"""),640089.0)</f>
        <v>640089</v>
      </c>
      <c r="B493" s="2">
        <f>IFERROR(__xludf.DUMMYFUNCTION("""COMPUTED_VALUE"""),42753.72058598284)</f>
        <v>42753.72059</v>
      </c>
      <c r="C493" s="1" t="str">
        <f>IFERROR(__xludf.DUMMYFUNCTION("""COMPUTED_VALUE"""),"treatment")</f>
        <v>treatment</v>
      </c>
      <c r="D493" s="1" t="str">
        <f>IFERROR(__xludf.DUMMYFUNCTION("""COMPUTED_VALUE"""),"new_page")</f>
        <v>new_page</v>
      </c>
      <c r="E493" s="1">
        <f>IFERROR(__xludf.DUMMYFUNCTION("""COMPUTED_VALUE"""),0.0)</f>
        <v>0</v>
      </c>
    </row>
    <row r="494">
      <c r="A494" s="1">
        <f>IFERROR(__xludf.DUMMYFUNCTION("""COMPUTED_VALUE"""),719840.0)</f>
        <v>719840</v>
      </c>
      <c r="B494" s="2">
        <f>IFERROR(__xludf.DUMMYFUNCTION("""COMPUTED_VALUE"""),42759.12048672662)</f>
        <v>42759.12049</v>
      </c>
      <c r="C494" s="1" t="str">
        <f>IFERROR(__xludf.DUMMYFUNCTION("""COMPUTED_VALUE"""),"treatment")</f>
        <v>treatment</v>
      </c>
      <c r="D494" s="1" t="str">
        <f>IFERROR(__xludf.DUMMYFUNCTION("""COMPUTED_VALUE"""),"new_page")</f>
        <v>new_page</v>
      </c>
      <c r="E494" s="1">
        <f>IFERROR(__xludf.DUMMYFUNCTION("""COMPUTED_VALUE"""),0.0)</f>
        <v>0</v>
      </c>
    </row>
    <row r="495">
      <c r="A495" s="1">
        <f>IFERROR(__xludf.DUMMYFUNCTION("""COMPUTED_VALUE"""),929551.0)</f>
        <v>929551</v>
      </c>
      <c r="B495" s="2">
        <f>IFERROR(__xludf.DUMMYFUNCTION("""COMPUTED_VALUE"""),42745.499795242606)</f>
        <v>42745.4998</v>
      </c>
      <c r="C495" s="1" t="str">
        <f>IFERROR(__xludf.DUMMYFUNCTION("""COMPUTED_VALUE"""),"treatment")</f>
        <v>treatment</v>
      </c>
      <c r="D495" s="1" t="str">
        <f>IFERROR(__xludf.DUMMYFUNCTION("""COMPUTED_VALUE"""),"new_page")</f>
        <v>new_page</v>
      </c>
      <c r="E495" s="1">
        <f>IFERROR(__xludf.DUMMYFUNCTION("""COMPUTED_VALUE"""),0.0)</f>
        <v>0</v>
      </c>
    </row>
    <row r="496">
      <c r="A496" s="1">
        <f>IFERROR(__xludf.DUMMYFUNCTION("""COMPUTED_VALUE"""),864453.0)</f>
        <v>864453</v>
      </c>
      <c r="B496" s="2">
        <f>IFERROR(__xludf.DUMMYFUNCTION("""COMPUTED_VALUE"""),42754.18313813493)</f>
        <v>42754.18314</v>
      </c>
      <c r="C496" s="1" t="str">
        <f>IFERROR(__xludf.DUMMYFUNCTION("""COMPUTED_VALUE"""),"treatment")</f>
        <v>treatment</v>
      </c>
      <c r="D496" s="1" t="str">
        <f>IFERROR(__xludf.DUMMYFUNCTION("""COMPUTED_VALUE"""),"new_page")</f>
        <v>new_page</v>
      </c>
      <c r="E496" s="1">
        <f>IFERROR(__xludf.DUMMYFUNCTION("""COMPUTED_VALUE"""),1.0)</f>
        <v>1</v>
      </c>
    </row>
    <row r="497">
      <c r="A497" s="1">
        <f>IFERROR(__xludf.DUMMYFUNCTION("""COMPUTED_VALUE"""),844747.0)</f>
        <v>844747</v>
      </c>
      <c r="B497" s="2">
        <f>IFERROR(__xludf.DUMMYFUNCTION("""COMPUTED_VALUE"""),42739.46564493849)</f>
        <v>42739.46564</v>
      </c>
      <c r="C497" s="1" t="str">
        <f>IFERROR(__xludf.DUMMYFUNCTION("""COMPUTED_VALUE"""),"control")</f>
        <v>control</v>
      </c>
      <c r="D497" s="1" t="str">
        <f>IFERROR(__xludf.DUMMYFUNCTION("""COMPUTED_VALUE"""),"old_page")</f>
        <v>old_page</v>
      </c>
      <c r="E497" s="1">
        <f>IFERROR(__xludf.DUMMYFUNCTION("""COMPUTED_VALUE"""),1.0)</f>
        <v>1</v>
      </c>
    </row>
    <row r="498">
      <c r="A498" s="1">
        <f>IFERROR(__xludf.DUMMYFUNCTION("""COMPUTED_VALUE"""),655595.0)</f>
        <v>655595</v>
      </c>
      <c r="B498" s="2">
        <f>IFERROR(__xludf.DUMMYFUNCTION("""COMPUTED_VALUE"""),42744.913955279466)</f>
        <v>42744.91396</v>
      </c>
      <c r="C498" s="1" t="str">
        <f>IFERROR(__xludf.DUMMYFUNCTION("""COMPUTED_VALUE"""),"control")</f>
        <v>control</v>
      </c>
      <c r="D498" s="1" t="str">
        <f>IFERROR(__xludf.DUMMYFUNCTION("""COMPUTED_VALUE"""),"old_page")</f>
        <v>old_page</v>
      </c>
      <c r="E498" s="1">
        <f>IFERROR(__xludf.DUMMYFUNCTION("""COMPUTED_VALUE"""),1.0)</f>
        <v>1</v>
      </c>
    </row>
    <row r="499">
      <c r="A499" s="1">
        <f>IFERROR(__xludf.DUMMYFUNCTION("""COMPUTED_VALUE"""),915664.0)</f>
        <v>915664</v>
      </c>
      <c r="B499" s="2">
        <f>IFERROR(__xludf.DUMMYFUNCTION("""COMPUTED_VALUE"""),42738.822116493764)</f>
        <v>42738.82212</v>
      </c>
      <c r="C499" s="1" t="str">
        <f>IFERROR(__xludf.DUMMYFUNCTION("""COMPUTED_VALUE"""),"treatment")</f>
        <v>treatment</v>
      </c>
      <c r="D499" s="1" t="str">
        <f>IFERROR(__xludf.DUMMYFUNCTION("""COMPUTED_VALUE"""),"new_page")</f>
        <v>new_page</v>
      </c>
      <c r="E499" s="1">
        <f>IFERROR(__xludf.DUMMYFUNCTION("""COMPUTED_VALUE"""),0.0)</f>
        <v>0</v>
      </c>
    </row>
    <row r="500">
      <c r="A500" s="1">
        <f>IFERROR(__xludf.DUMMYFUNCTION("""COMPUTED_VALUE"""),937654.0)</f>
        <v>937654</v>
      </c>
      <c r="B500" s="2">
        <f>IFERROR(__xludf.DUMMYFUNCTION("""COMPUTED_VALUE"""),42741.75809443911)</f>
        <v>42741.75809</v>
      </c>
      <c r="C500" s="1" t="str">
        <f>IFERROR(__xludf.DUMMYFUNCTION("""COMPUTED_VALUE"""),"control")</f>
        <v>control</v>
      </c>
      <c r="D500" s="1" t="str">
        <f>IFERROR(__xludf.DUMMYFUNCTION("""COMPUTED_VALUE"""),"old_page")</f>
        <v>old_page</v>
      </c>
      <c r="E500" s="1">
        <f>IFERROR(__xludf.DUMMYFUNCTION("""COMPUTED_VALUE"""),0.0)</f>
        <v>0</v>
      </c>
    </row>
    <row r="501">
      <c r="A501" s="1">
        <f>IFERROR(__xludf.DUMMYFUNCTION("""COMPUTED_VALUE"""),659018.0)</f>
        <v>659018</v>
      </c>
      <c r="B501" s="2">
        <f>IFERROR(__xludf.DUMMYFUNCTION("""COMPUTED_VALUE"""),42755.6142467808)</f>
        <v>42755.61425</v>
      </c>
      <c r="C501" s="1" t="str">
        <f>IFERROR(__xludf.DUMMYFUNCTION("""COMPUTED_VALUE"""),"treatment")</f>
        <v>treatment</v>
      </c>
      <c r="D501" s="1" t="str">
        <f>IFERROR(__xludf.DUMMYFUNCTION("""COMPUTED_VALUE"""),"new_page")</f>
        <v>new_page</v>
      </c>
      <c r="E501" s="1">
        <f>IFERROR(__xludf.DUMMYFUNCTION("""COMPUTED_VALUE"""),0.0)</f>
        <v>0</v>
      </c>
    </row>
    <row r="502">
      <c r="A502" s="1">
        <f>IFERROR(__xludf.DUMMYFUNCTION("""COMPUTED_VALUE"""),678855.0)</f>
        <v>678855</v>
      </c>
      <c r="B502" s="2">
        <f>IFERROR(__xludf.DUMMYFUNCTION("""COMPUTED_VALUE"""),42747.89398573294)</f>
        <v>42747.89399</v>
      </c>
      <c r="C502" s="1" t="str">
        <f>IFERROR(__xludf.DUMMYFUNCTION("""COMPUTED_VALUE"""),"control")</f>
        <v>control</v>
      </c>
      <c r="D502" s="1" t="str">
        <f>IFERROR(__xludf.DUMMYFUNCTION("""COMPUTED_VALUE"""),"old_page")</f>
        <v>old_page</v>
      </c>
      <c r="E502" s="1">
        <f>IFERROR(__xludf.DUMMYFUNCTION("""COMPUTED_VALUE"""),1.0)</f>
        <v>1</v>
      </c>
    </row>
    <row r="503">
      <c r="A503" s="1">
        <f>IFERROR(__xludf.DUMMYFUNCTION("""COMPUTED_VALUE"""),713907.0)</f>
        <v>713907</v>
      </c>
      <c r="B503" s="2">
        <f>IFERROR(__xludf.DUMMYFUNCTION("""COMPUTED_VALUE"""),42756.70721501451)</f>
        <v>42756.70722</v>
      </c>
      <c r="C503" s="1" t="str">
        <f>IFERROR(__xludf.DUMMYFUNCTION("""COMPUTED_VALUE"""),"control")</f>
        <v>control</v>
      </c>
      <c r="D503" s="1" t="str">
        <f>IFERROR(__xludf.DUMMYFUNCTION("""COMPUTED_VALUE"""),"old_page")</f>
        <v>old_page</v>
      </c>
      <c r="E503" s="1">
        <f>IFERROR(__xludf.DUMMYFUNCTION("""COMPUTED_VALUE"""),0.0)</f>
        <v>0</v>
      </c>
    </row>
    <row r="504">
      <c r="A504" s="1">
        <f>IFERROR(__xludf.DUMMYFUNCTION("""COMPUTED_VALUE"""),877725.0)</f>
        <v>877725</v>
      </c>
      <c r="B504" s="2">
        <f>IFERROR(__xludf.DUMMYFUNCTION("""COMPUTED_VALUE"""),42751.81061760913)</f>
        <v>42751.81062</v>
      </c>
      <c r="C504" s="1" t="str">
        <f>IFERROR(__xludf.DUMMYFUNCTION("""COMPUTED_VALUE"""),"treatment")</f>
        <v>treatment</v>
      </c>
      <c r="D504" s="1" t="str">
        <f>IFERROR(__xludf.DUMMYFUNCTION("""COMPUTED_VALUE"""),"new_page")</f>
        <v>new_page</v>
      </c>
      <c r="E504" s="1">
        <f>IFERROR(__xludf.DUMMYFUNCTION("""COMPUTED_VALUE"""),0.0)</f>
        <v>0</v>
      </c>
    </row>
    <row r="505">
      <c r="A505" s="1">
        <f>IFERROR(__xludf.DUMMYFUNCTION("""COMPUTED_VALUE"""),730577.0)</f>
        <v>730577</v>
      </c>
      <c r="B505" s="2">
        <f>IFERROR(__xludf.DUMMYFUNCTION("""COMPUTED_VALUE"""),42737.73089363449)</f>
        <v>42737.73089</v>
      </c>
      <c r="C505" s="1" t="str">
        <f>IFERROR(__xludf.DUMMYFUNCTION("""COMPUTED_VALUE"""),"control")</f>
        <v>control</v>
      </c>
      <c r="D505" s="1" t="str">
        <f>IFERROR(__xludf.DUMMYFUNCTION("""COMPUTED_VALUE"""),"old_page")</f>
        <v>old_page</v>
      </c>
      <c r="E505" s="1">
        <f>IFERROR(__xludf.DUMMYFUNCTION("""COMPUTED_VALUE"""),0.0)</f>
        <v>0</v>
      </c>
    </row>
    <row r="506">
      <c r="A506" s="1">
        <f>IFERROR(__xludf.DUMMYFUNCTION("""COMPUTED_VALUE"""),763960.0)</f>
        <v>763960</v>
      </c>
      <c r="B506" s="2">
        <f>IFERROR(__xludf.DUMMYFUNCTION("""COMPUTED_VALUE"""),42757.561485388935)</f>
        <v>42757.56149</v>
      </c>
      <c r="C506" s="1" t="str">
        <f>IFERROR(__xludf.DUMMYFUNCTION("""COMPUTED_VALUE"""),"treatment")</f>
        <v>treatment</v>
      </c>
      <c r="D506" s="1" t="str">
        <f>IFERROR(__xludf.DUMMYFUNCTION("""COMPUTED_VALUE"""),"new_page")</f>
        <v>new_page</v>
      </c>
      <c r="E506" s="1">
        <f>IFERROR(__xludf.DUMMYFUNCTION("""COMPUTED_VALUE"""),0.0)</f>
        <v>0</v>
      </c>
    </row>
    <row r="507">
      <c r="A507" s="1">
        <f>IFERROR(__xludf.DUMMYFUNCTION("""COMPUTED_VALUE"""),931667.0)</f>
        <v>931667</v>
      </c>
      <c r="B507" s="2">
        <f>IFERROR(__xludf.DUMMYFUNCTION("""COMPUTED_VALUE"""),42747.03267263749)</f>
        <v>42747.03267</v>
      </c>
      <c r="C507" s="1" t="str">
        <f>IFERROR(__xludf.DUMMYFUNCTION("""COMPUTED_VALUE"""),"control")</f>
        <v>control</v>
      </c>
      <c r="D507" s="1" t="str">
        <f>IFERROR(__xludf.DUMMYFUNCTION("""COMPUTED_VALUE"""),"old_page")</f>
        <v>old_page</v>
      </c>
      <c r="E507" s="1">
        <f>IFERROR(__xludf.DUMMYFUNCTION("""COMPUTED_VALUE"""),0.0)</f>
        <v>0</v>
      </c>
    </row>
    <row r="508">
      <c r="A508" s="1">
        <f>IFERROR(__xludf.DUMMYFUNCTION("""COMPUTED_VALUE"""),869321.0)</f>
        <v>869321</v>
      </c>
      <c r="B508" s="2">
        <f>IFERROR(__xludf.DUMMYFUNCTION("""COMPUTED_VALUE"""),42750.42699552361)</f>
        <v>42750.427</v>
      </c>
      <c r="C508" s="1" t="str">
        <f>IFERROR(__xludf.DUMMYFUNCTION("""COMPUTED_VALUE"""),"control")</f>
        <v>control</v>
      </c>
      <c r="D508" s="1" t="str">
        <f>IFERROR(__xludf.DUMMYFUNCTION("""COMPUTED_VALUE"""),"old_page")</f>
        <v>old_page</v>
      </c>
      <c r="E508" s="1">
        <f>IFERROR(__xludf.DUMMYFUNCTION("""COMPUTED_VALUE"""),0.0)</f>
        <v>0</v>
      </c>
    </row>
    <row r="509">
      <c r="A509" s="1">
        <f>IFERROR(__xludf.DUMMYFUNCTION("""COMPUTED_VALUE"""),732212.0)</f>
        <v>732212</v>
      </c>
      <c r="B509" s="2">
        <f>IFERROR(__xludf.DUMMYFUNCTION("""COMPUTED_VALUE"""),42742.96707674202)</f>
        <v>42742.96708</v>
      </c>
      <c r="C509" s="1" t="str">
        <f>IFERROR(__xludf.DUMMYFUNCTION("""COMPUTED_VALUE"""),"treatment")</f>
        <v>treatment</v>
      </c>
      <c r="D509" s="1" t="str">
        <f>IFERROR(__xludf.DUMMYFUNCTION("""COMPUTED_VALUE"""),"new_page")</f>
        <v>new_page</v>
      </c>
      <c r="E509" s="1">
        <f>IFERROR(__xludf.DUMMYFUNCTION("""COMPUTED_VALUE"""),0.0)</f>
        <v>0</v>
      </c>
    </row>
    <row r="510">
      <c r="A510" s="1">
        <f>IFERROR(__xludf.DUMMYFUNCTION("""COMPUTED_VALUE"""),712277.0)</f>
        <v>712277</v>
      </c>
      <c r="B510" s="2">
        <f>IFERROR(__xludf.DUMMYFUNCTION("""COMPUTED_VALUE"""),42752.59923879465)</f>
        <v>42752.59924</v>
      </c>
      <c r="C510" s="1" t="str">
        <f>IFERROR(__xludf.DUMMYFUNCTION("""COMPUTED_VALUE"""),"control")</f>
        <v>control</v>
      </c>
      <c r="D510" s="1" t="str">
        <f>IFERROR(__xludf.DUMMYFUNCTION("""COMPUTED_VALUE"""),"old_page")</f>
        <v>old_page</v>
      </c>
      <c r="E510" s="1">
        <f>IFERROR(__xludf.DUMMYFUNCTION("""COMPUTED_VALUE"""),0.0)</f>
        <v>0</v>
      </c>
    </row>
    <row r="511">
      <c r="A511" s="1">
        <f>IFERROR(__xludf.DUMMYFUNCTION("""COMPUTED_VALUE"""),834658.0)</f>
        <v>834658</v>
      </c>
      <c r="B511" s="2">
        <f>IFERROR(__xludf.DUMMYFUNCTION("""COMPUTED_VALUE"""),42739.012763314815)</f>
        <v>42739.01276</v>
      </c>
      <c r="C511" s="1" t="str">
        <f>IFERROR(__xludf.DUMMYFUNCTION("""COMPUTED_VALUE"""),"control")</f>
        <v>control</v>
      </c>
      <c r="D511" s="1" t="str">
        <f>IFERROR(__xludf.DUMMYFUNCTION("""COMPUTED_VALUE"""),"old_page")</f>
        <v>old_page</v>
      </c>
      <c r="E511" s="1">
        <f>IFERROR(__xludf.DUMMYFUNCTION("""COMPUTED_VALUE"""),0.0)</f>
        <v>0</v>
      </c>
    </row>
    <row r="512">
      <c r="A512" s="1">
        <f>IFERROR(__xludf.DUMMYFUNCTION("""COMPUTED_VALUE"""),827765.0)</f>
        <v>827765</v>
      </c>
      <c r="B512" s="2">
        <f>IFERROR(__xludf.DUMMYFUNCTION("""COMPUTED_VALUE"""),42742.51241774055)</f>
        <v>42742.51242</v>
      </c>
      <c r="C512" s="1" t="str">
        <f>IFERROR(__xludf.DUMMYFUNCTION("""COMPUTED_VALUE"""),"treatment")</f>
        <v>treatment</v>
      </c>
      <c r="D512" s="1" t="str">
        <f>IFERROR(__xludf.DUMMYFUNCTION("""COMPUTED_VALUE"""),"new_page")</f>
        <v>new_page</v>
      </c>
      <c r="E512" s="1">
        <f>IFERROR(__xludf.DUMMYFUNCTION("""COMPUTED_VALUE"""),0.0)</f>
        <v>0</v>
      </c>
    </row>
    <row r="513">
      <c r="A513" s="1">
        <f>IFERROR(__xludf.DUMMYFUNCTION("""COMPUTED_VALUE"""),923289.0)</f>
        <v>923289</v>
      </c>
      <c r="B513" s="2">
        <f>IFERROR(__xludf.DUMMYFUNCTION("""COMPUTED_VALUE"""),42737.92976309081)</f>
        <v>42737.92976</v>
      </c>
      <c r="C513" s="1" t="str">
        <f>IFERROR(__xludf.DUMMYFUNCTION("""COMPUTED_VALUE"""),"control")</f>
        <v>control</v>
      </c>
      <c r="D513" s="1" t="str">
        <f>IFERROR(__xludf.DUMMYFUNCTION("""COMPUTED_VALUE"""),"old_page")</f>
        <v>old_page</v>
      </c>
      <c r="E513" s="1">
        <f>IFERROR(__xludf.DUMMYFUNCTION("""COMPUTED_VALUE"""),0.0)</f>
        <v>0</v>
      </c>
    </row>
    <row r="514">
      <c r="A514" s="1">
        <f>IFERROR(__xludf.DUMMYFUNCTION("""COMPUTED_VALUE"""),673628.0)</f>
        <v>673628</v>
      </c>
      <c r="B514" s="2">
        <f>IFERROR(__xludf.DUMMYFUNCTION("""COMPUTED_VALUE"""),42742.85895751327)</f>
        <v>42742.85896</v>
      </c>
      <c r="C514" s="1" t="str">
        <f>IFERROR(__xludf.DUMMYFUNCTION("""COMPUTED_VALUE"""),"control")</f>
        <v>control</v>
      </c>
      <c r="D514" s="1" t="str">
        <f>IFERROR(__xludf.DUMMYFUNCTION("""COMPUTED_VALUE"""),"old_page")</f>
        <v>old_page</v>
      </c>
      <c r="E514" s="1">
        <f>IFERROR(__xludf.DUMMYFUNCTION("""COMPUTED_VALUE"""),0.0)</f>
        <v>0</v>
      </c>
    </row>
    <row r="515">
      <c r="A515" s="1">
        <f>IFERROR(__xludf.DUMMYFUNCTION("""COMPUTED_VALUE"""),709021.0)</f>
        <v>709021</v>
      </c>
      <c r="B515" s="2">
        <f>IFERROR(__xludf.DUMMYFUNCTION("""COMPUTED_VALUE"""),42757.6893558443)</f>
        <v>42757.68936</v>
      </c>
      <c r="C515" s="1" t="str">
        <f>IFERROR(__xludf.DUMMYFUNCTION("""COMPUTED_VALUE"""),"treatment")</f>
        <v>treatment</v>
      </c>
      <c r="D515" s="1" t="str">
        <f>IFERROR(__xludf.DUMMYFUNCTION("""COMPUTED_VALUE"""),"new_page")</f>
        <v>new_page</v>
      </c>
      <c r="E515" s="1">
        <f>IFERROR(__xludf.DUMMYFUNCTION("""COMPUTED_VALUE"""),0.0)</f>
        <v>0</v>
      </c>
    </row>
    <row r="516">
      <c r="A516" s="1">
        <f>IFERROR(__xludf.DUMMYFUNCTION("""COMPUTED_VALUE"""),836147.0)</f>
        <v>836147</v>
      </c>
      <c r="B516" s="2">
        <f>IFERROR(__xludf.DUMMYFUNCTION("""COMPUTED_VALUE"""),42754.52319479189)</f>
        <v>42754.52319</v>
      </c>
      <c r="C516" s="1" t="str">
        <f>IFERROR(__xludf.DUMMYFUNCTION("""COMPUTED_VALUE"""),"control")</f>
        <v>control</v>
      </c>
      <c r="D516" s="1" t="str">
        <f>IFERROR(__xludf.DUMMYFUNCTION("""COMPUTED_VALUE"""),"old_page")</f>
        <v>old_page</v>
      </c>
      <c r="E516" s="1">
        <f>IFERROR(__xludf.DUMMYFUNCTION("""COMPUTED_VALUE"""),0.0)</f>
        <v>0</v>
      </c>
    </row>
    <row r="517">
      <c r="A517" s="1">
        <f>IFERROR(__xludf.DUMMYFUNCTION("""COMPUTED_VALUE"""),727739.0)</f>
        <v>727739</v>
      </c>
      <c r="B517" s="2">
        <f>IFERROR(__xludf.DUMMYFUNCTION("""COMPUTED_VALUE"""),42739.00550831764)</f>
        <v>42739.00551</v>
      </c>
      <c r="C517" s="1" t="str">
        <f>IFERROR(__xludf.DUMMYFUNCTION("""COMPUTED_VALUE"""),"control")</f>
        <v>control</v>
      </c>
      <c r="D517" s="1" t="str">
        <f>IFERROR(__xludf.DUMMYFUNCTION("""COMPUTED_VALUE"""),"old_page")</f>
        <v>old_page</v>
      </c>
      <c r="E517" s="1">
        <f>IFERROR(__xludf.DUMMYFUNCTION("""COMPUTED_VALUE"""),0.0)</f>
        <v>0</v>
      </c>
    </row>
    <row r="518">
      <c r="A518" s="1">
        <f>IFERROR(__xludf.DUMMYFUNCTION("""COMPUTED_VALUE"""),811078.0)</f>
        <v>811078</v>
      </c>
      <c r="B518" s="2">
        <f>IFERROR(__xludf.DUMMYFUNCTION("""COMPUTED_VALUE"""),42751.645965898795)</f>
        <v>42751.64597</v>
      </c>
      <c r="C518" s="1" t="str">
        <f>IFERROR(__xludf.DUMMYFUNCTION("""COMPUTED_VALUE"""),"treatment")</f>
        <v>treatment</v>
      </c>
      <c r="D518" s="1" t="str">
        <f>IFERROR(__xludf.DUMMYFUNCTION("""COMPUTED_VALUE"""),"new_page")</f>
        <v>new_page</v>
      </c>
      <c r="E518" s="1">
        <f>IFERROR(__xludf.DUMMYFUNCTION("""COMPUTED_VALUE"""),0.0)</f>
        <v>0</v>
      </c>
    </row>
    <row r="519">
      <c r="A519" s="1">
        <f>IFERROR(__xludf.DUMMYFUNCTION("""COMPUTED_VALUE"""),733279.0)</f>
        <v>733279</v>
      </c>
      <c r="B519" s="2">
        <f>IFERROR(__xludf.DUMMYFUNCTION("""COMPUTED_VALUE"""),42737.97995483648)</f>
        <v>42737.97995</v>
      </c>
      <c r="C519" s="1" t="str">
        <f>IFERROR(__xludf.DUMMYFUNCTION("""COMPUTED_VALUE"""),"control")</f>
        <v>control</v>
      </c>
      <c r="D519" s="1" t="str">
        <f>IFERROR(__xludf.DUMMYFUNCTION("""COMPUTED_VALUE"""),"old_page")</f>
        <v>old_page</v>
      </c>
      <c r="E519" s="1">
        <f>IFERROR(__xludf.DUMMYFUNCTION("""COMPUTED_VALUE"""),0.0)</f>
        <v>0</v>
      </c>
    </row>
    <row r="520">
      <c r="A520" s="1">
        <f>IFERROR(__xludf.DUMMYFUNCTION("""COMPUTED_VALUE"""),764691.0)</f>
        <v>764691</v>
      </c>
      <c r="B520" s="2">
        <f>IFERROR(__xludf.DUMMYFUNCTION("""COMPUTED_VALUE"""),42747.08907170958)</f>
        <v>42747.08907</v>
      </c>
      <c r="C520" s="1" t="str">
        <f>IFERROR(__xludf.DUMMYFUNCTION("""COMPUTED_VALUE"""),"treatment")</f>
        <v>treatment</v>
      </c>
      <c r="D520" s="1" t="str">
        <f>IFERROR(__xludf.DUMMYFUNCTION("""COMPUTED_VALUE"""),"new_page")</f>
        <v>new_page</v>
      </c>
      <c r="E520" s="1">
        <f>IFERROR(__xludf.DUMMYFUNCTION("""COMPUTED_VALUE"""),0.0)</f>
        <v>0</v>
      </c>
    </row>
    <row r="521">
      <c r="A521" s="1">
        <f>IFERROR(__xludf.DUMMYFUNCTION("""COMPUTED_VALUE"""),777806.0)</f>
        <v>777806</v>
      </c>
      <c r="B521" s="2">
        <f>IFERROR(__xludf.DUMMYFUNCTION("""COMPUTED_VALUE"""),42752.65160410215)</f>
        <v>42752.6516</v>
      </c>
      <c r="C521" s="1" t="str">
        <f>IFERROR(__xludf.DUMMYFUNCTION("""COMPUTED_VALUE"""),"control")</f>
        <v>control</v>
      </c>
      <c r="D521" s="1" t="str">
        <f>IFERROR(__xludf.DUMMYFUNCTION("""COMPUTED_VALUE"""),"old_page")</f>
        <v>old_page</v>
      </c>
      <c r="E521" s="1">
        <f>IFERROR(__xludf.DUMMYFUNCTION("""COMPUTED_VALUE"""),1.0)</f>
        <v>1</v>
      </c>
    </row>
    <row r="522">
      <c r="A522" s="1">
        <f>IFERROR(__xludf.DUMMYFUNCTION("""COMPUTED_VALUE"""),659571.0)</f>
        <v>659571</v>
      </c>
      <c r="B522" s="2">
        <f>IFERROR(__xludf.DUMMYFUNCTION("""COMPUTED_VALUE"""),42758.98064636365)</f>
        <v>42758.98065</v>
      </c>
      <c r="C522" s="1" t="str">
        <f>IFERROR(__xludf.DUMMYFUNCTION("""COMPUTED_VALUE"""),"control")</f>
        <v>control</v>
      </c>
      <c r="D522" s="1" t="str">
        <f>IFERROR(__xludf.DUMMYFUNCTION("""COMPUTED_VALUE"""),"old_page")</f>
        <v>old_page</v>
      </c>
      <c r="E522" s="1">
        <f>IFERROR(__xludf.DUMMYFUNCTION("""COMPUTED_VALUE"""),1.0)</f>
        <v>1</v>
      </c>
    </row>
    <row r="523">
      <c r="A523" s="1">
        <f>IFERROR(__xludf.DUMMYFUNCTION("""COMPUTED_VALUE"""),776022.0)</f>
        <v>776022</v>
      </c>
      <c r="B523" s="2">
        <f>IFERROR(__xludf.DUMMYFUNCTION("""COMPUTED_VALUE"""),42748.945238758955)</f>
        <v>42748.94524</v>
      </c>
      <c r="C523" s="1" t="str">
        <f>IFERROR(__xludf.DUMMYFUNCTION("""COMPUTED_VALUE"""),"control")</f>
        <v>control</v>
      </c>
      <c r="D523" s="1" t="str">
        <f>IFERROR(__xludf.DUMMYFUNCTION("""COMPUTED_VALUE"""),"old_page")</f>
        <v>old_page</v>
      </c>
      <c r="E523" s="1">
        <f>IFERROR(__xludf.DUMMYFUNCTION("""COMPUTED_VALUE"""),0.0)</f>
        <v>0</v>
      </c>
    </row>
    <row r="524">
      <c r="A524" s="1">
        <f>IFERROR(__xludf.DUMMYFUNCTION("""COMPUTED_VALUE"""),778189.0)</f>
        <v>778189</v>
      </c>
      <c r="B524" s="2">
        <f>IFERROR(__xludf.DUMMYFUNCTION("""COMPUTED_VALUE"""),42739.2555263003)</f>
        <v>42739.25553</v>
      </c>
      <c r="C524" s="1" t="str">
        <f>IFERROR(__xludf.DUMMYFUNCTION("""COMPUTED_VALUE"""),"treatment")</f>
        <v>treatment</v>
      </c>
      <c r="D524" s="1" t="str">
        <f>IFERROR(__xludf.DUMMYFUNCTION("""COMPUTED_VALUE"""),"new_page")</f>
        <v>new_page</v>
      </c>
      <c r="E524" s="1">
        <f>IFERROR(__xludf.DUMMYFUNCTION("""COMPUTED_VALUE"""),0.0)</f>
        <v>0</v>
      </c>
    </row>
    <row r="525">
      <c r="A525" s="1">
        <f>IFERROR(__xludf.DUMMYFUNCTION("""COMPUTED_VALUE"""),838741.0)</f>
        <v>838741</v>
      </c>
      <c r="B525" s="2">
        <f>IFERROR(__xludf.DUMMYFUNCTION("""COMPUTED_VALUE"""),42751.80709835672)</f>
        <v>42751.8071</v>
      </c>
      <c r="C525" s="1" t="str">
        <f>IFERROR(__xludf.DUMMYFUNCTION("""COMPUTED_VALUE"""),"treatment")</f>
        <v>treatment</v>
      </c>
      <c r="D525" s="1" t="str">
        <f>IFERROR(__xludf.DUMMYFUNCTION("""COMPUTED_VALUE"""),"new_page")</f>
        <v>new_page</v>
      </c>
      <c r="E525" s="1">
        <f>IFERROR(__xludf.DUMMYFUNCTION("""COMPUTED_VALUE"""),0.0)</f>
        <v>0</v>
      </c>
    </row>
    <row r="526">
      <c r="A526" s="1">
        <f>IFERROR(__xludf.DUMMYFUNCTION("""COMPUTED_VALUE"""),919980.0)</f>
        <v>919980</v>
      </c>
      <c r="B526" s="2">
        <f>IFERROR(__xludf.DUMMYFUNCTION("""COMPUTED_VALUE"""),42755.71971713595)</f>
        <v>42755.71972</v>
      </c>
      <c r="C526" s="1" t="str">
        <f>IFERROR(__xludf.DUMMYFUNCTION("""COMPUTED_VALUE"""),"treatment")</f>
        <v>treatment</v>
      </c>
      <c r="D526" s="1" t="str">
        <f>IFERROR(__xludf.DUMMYFUNCTION("""COMPUTED_VALUE"""),"new_page")</f>
        <v>new_page</v>
      </c>
      <c r="E526" s="1">
        <f>IFERROR(__xludf.DUMMYFUNCTION("""COMPUTED_VALUE"""),0.0)</f>
        <v>0</v>
      </c>
    </row>
    <row r="527">
      <c r="A527" s="1">
        <f>IFERROR(__xludf.DUMMYFUNCTION("""COMPUTED_VALUE"""),643194.0)</f>
        <v>643194</v>
      </c>
      <c r="B527" s="2">
        <f>IFERROR(__xludf.DUMMYFUNCTION("""COMPUTED_VALUE"""),42742.16045014251)</f>
        <v>42742.16045</v>
      </c>
      <c r="C527" s="1" t="str">
        <f>IFERROR(__xludf.DUMMYFUNCTION("""COMPUTED_VALUE"""),"control")</f>
        <v>control</v>
      </c>
      <c r="D527" s="1" t="str">
        <f>IFERROR(__xludf.DUMMYFUNCTION("""COMPUTED_VALUE"""),"old_page")</f>
        <v>old_page</v>
      </c>
      <c r="E527" s="1">
        <f>IFERROR(__xludf.DUMMYFUNCTION("""COMPUTED_VALUE"""),0.0)</f>
        <v>0</v>
      </c>
    </row>
    <row r="528">
      <c r="A528" s="1">
        <f>IFERROR(__xludf.DUMMYFUNCTION("""COMPUTED_VALUE"""),772107.0)</f>
        <v>772107</v>
      </c>
      <c r="B528" s="2">
        <f>IFERROR(__xludf.DUMMYFUNCTION("""COMPUTED_VALUE"""),42749.69414096955)</f>
        <v>42749.69414</v>
      </c>
      <c r="C528" s="1" t="str">
        <f>IFERROR(__xludf.DUMMYFUNCTION("""COMPUTED_VALUE"""),"control")</f>
        <v>control</v>
      </c>
      <c r="D528" s="1" t="str">
        <f>IFERROR(__xludf.DUMMYFUNCTION("""COMPUTED_VALUE"""),"old_page")</f>
        <v>old_page</v>
      </c>
      <c r="E528" s="1">
        <f>IFERROR(__xludf.DUMMYFUNCTION("""COMPUTED_VALUE"""),0.0)</f>
        <v>0</v>
      </c>
    </row>
    <row r="529">
      <c r="A529" s="1">
        <f>IFERROR(__xludf.DUMMYFUNCTION("""COMPUTED_VALUE"""),913497.0)</f>
        <v>913497</v>
      </c>
      <c r="B529" s="2">
        <f>IFERROR(__xludf.DUMMYFUNCTION("""COMPUTED_VALUE"""),42754.034330450835)</f>
        <v>42754.03433</v>
      </c>
      <c r="C529" s="1" t="str">
        <f>IFERROR(__xludf.DUMMYFUNCTION("""COMPUTED_VALUE"""),"control")</f>
        <v>control</v>
      </c>
      <c r="D529" s="1" t="str">
        <f>IFERROR(__xludf.DUMMYFUNCTION("""COMPUTED_VALUE"""),"old_page")</f>
        <v>old_page</v>
      </c>
      <c r="E529" s="1">
        <f>IFERROR(__xludf.DUMMYFUNCTION("""COMPUTED_VALUE"""),1.0)</f>
        <v>1</v>
      </c>
    </row>
    <row r="530">
      <c r="A530" s="1">
        <f>IFERROR(__xludf.DUMMYFUNCTION("""COMPUTED_VALUE"""),714175.0)</f>
        <v>714175</v>
      </c>
      <c r="B530" s="2">
        <f>IFERROR(__xludf.DUMMYFUNCTION("""COMPUTED_VALUE"""),42747.867696573936)</f>
        <v>42747.8677</v>
      </c>
      <c r="C530" s="1" t="str">
        <f>IFERROR(__xludf.DUMMYFUNCTION("""COMPUTED_VALUE"""),"treatment")</f>
        <v>treatment</v>
      </c>
      <c r="D530" s="1" t="str">
        <f>IFERROR(__xludf.DUMMYFUNCTION("""COMPUTED_VALUE"""),"new_page")</f>
        <v>new_page</v>
      </c>
      <c r="E530" s="1">
        <f>IFERROR(__xludf.DUMMYFUNCTION("""COMPUTED_VALUE"""),0.0)</f>
        <v>0</v>
      </c>
    </row>
    <row r="531">
      <c r="A531" s="1">
        <f>IFERROR(__xludf.DUMMYFUNCTION("""COMPUTED_VALUE"""),732602.0)</f>
        <v>732602</v>
      </c>
      <c r="B531" s="2">
        <f>IFERROR(__xludf.DUMMYFUNCTION("""COMPUTED_VALUE"""),42759.43101220081)</f>
        <v>42759.43101</v>
      </c>
      <c r="C531" s="1" t="str">
        <f>IFERROR(__xludf.DUMMYFUNCTION("""COMPUTED_VALUE"""),"control")</f>
        <v>control</v>
      </c>
      <c r="D531" s="1" t="str">
        <f>IFERROR(__xludf.DUMMYFUNCTION("""COMPUTED_VALUE"""),"old_page")</f>
        <v>old_page</v>
      </c>
      <c r="E531" s="1">
        <f>IFERROR(__xludf.DUMMYFUNCTION("""COMPUTED_VALUE"""),0.0)</f>
        <v>0</v>
      </c>
    </row>
    <row r="532">
      <c r="A532" s="1">
        <f>IFERROR(__xludf.DUMMYFUNCTION("""COMPUTED_VALUE"""),840454.0)</f>
        <v>840454</v>
      </c>
      <c r="B532" s="2">
        <f>IFERROR(__xludf.DUMMYFUNCTION("""COMPUTED_VALUE"""),42743.20047867975)</f>
        <v>42743.20048</v>
      </c>
      <c r="C532" s="1" t="str">
        <f>IFERROR(__xludf.DUMMYFUNCTION("""COMPUTED_VALUE"""),"treatment")</f>
        <v>treatment</v>
      </c>
      <c r="D532" s="1" t="str">
        <f>IFERROR(__xludf.DUMMYFUNCTION("""COMPUTED_VALUE"""),"new_page")</f>
        <v>new_page</v>
      </c>
      <c r="E532" s="1">
        <f>IFERROR(__xludf.DUMMYFUNCTION("""COMPUTED_VALUE"""),0.0)</f>
        <v>0</v>
      </c>
    </row>
    <row r="533">
      <c r="A533" s="1">
        <f>IFERROR(__xludf.DUMMYFUNCTION("""COMPUTED_VALUE"""),945043.0)</f>
        <v>945043</v>
      </c>
      <c r="B533" s="2">
        <f>IFERROR(__xludf.DUMMYFUNCTION("""COMPUTED_VALUE"""),42740.46851155722)</f>
        <v>42740.46851</v>
      </c>
      <c r="C533" s="1" t="str">
        <f>IFERROR(__xludf.DUMMYFUNCTION("""COMPUTED_VALUE"""),"treatment")</f>
        <v>treatment</v>
      </c>
      <c r="D533" s="1" t="str">
        <f>IFERROR(__xludf.DUMMYFUNCTION("""COMPUTED_VALUE"""),"new_page")</f>
        <v>new_page</v>
      </c>
      <c r="E533" s="1">
        <f>IFERROR(__xludf.DUMMYFUNCTION("""COMPUTED_VALUE"""),0.0)</f>
        <v>0</v>
      </c>
    </row>
    <row r="534">
      <c r="A534" s="1">
        <f>IFERROR(__xludf.DUMMYFUNCTION("""COMPUTED_VALUE"""),735241.0)</f>
        <v>735241</v>
      </c>
      <c r="B534" s="2">
        <f>IFERROR(__xludf.DUMMYFUNCTION("""COMPUTED_VALUE"""),42746.500373854964)</f>
        <v>42746.50037</v>
      </c>
      <c r="C534" s="1" t="str">
        <f>IFERROR(__xludf.DUMMYFUNCTION("""COMPUTED_VALUE"""),"control")</f>
        <v>control</v>
      </c>
      <c r="D534" s="1" t="str">
        <f>IFERROR(__xludf.DUMMYFUNCTION("""COMPUTED_VALUE"""),"old_page")</f>
        <v>old_page</v>
      </c>
      <c r="E534" s="1">
        <f>IFERROR(__xludf.DUMMYFUNCTION("""COMPUTED_VALUE"""),1.0)</f>
        <v>1</v>
      </c>
    </row>
    <row r="535">
      <c r="A535" s="1">
        <f>IFERROR(__xludf.DUMMYFUNCTION("""COMPUTED_VALUE"""),706363.0)</f>
        <v>706363</v>
      </c>
      <c r="B535" s="2">
        <f>IFERROR(__xludf.DUMMYFUNCTION("""COMPUTED_VALUE"""),42739.29540907972)</f>
        <v>42739.29541</v>
      </c>
      <c r="C535" s="1" t="str">
        <f>IFERROR(__xludf.DUMMYFUNCTION("""COMPUTED_VALUE"""),"control")</f>
        <v>control</v>
      </c>
      <c r="D535" s="1" t="str">
        <f>IFERROR(__xludf.DUMMYFUNCTION("""COMPUTED_VALUE"""),"old_page")</f>
        <v>old_page</v>
      </c>
      <c r="E535" s="1">
        <f>IFERROR(__xludf.DUMMYFUNCTION("""COMPUTED_VALUE"""),0.0)</f>
        <v>0</v>
      </c>
    </row>
    <row r="536">
      <c r="A536" s="1">
        <f>IFERROR(__xludf.DUMMYFUNCTION("""COMPUTED_VALUE"""),734203.0)</f>
        <v>734203</v>
      </c>
      <c r="B536" s="2">
        <f>IFERROR(__xludf.DUMMYFUNCTION("""COMPUTED_VALUE"""),42754.787515639284)</f>
        <v>42754.78752</v>
      </c>
      <c r="C536" s="1" t="str">
        <f>IFERROR(__xludf.DUMMYFUNCTION("""COMPUTED_VALUE"""),"treatment")</f>
        <v>treatment</v>
      </c>
      <c r="D536" s="1" t="str">
        <f>IFERROR(__xludf.DUMMYFUNCTION("""COMPUTED_VALUE"""),"new_page")</f>
        <v>new_page</v>
      </c>
      <c r="E536" s="1">
        <f>IFERROR(__xludf.DUMMYFUNCTION("""COMPUTED_VALUE"""),0.0)</f>
        <v>0</v>
      </c>
    </row>
    <row r="537">
      <c r="A537" s="1">
        <f>IFERROR(__xludf.DUMMYFUNCTION("""COMPUTED_VALUE"""),661674.0)</f>
        <v>661674</v>
      </c>
      <c r="B537" s="2">
        <f>IFERROR(__xludf.DUMMYFUNCTION("""COMPUTED_VALUE"""),42749.6161658623)</f>
        <v>42749.61617</v>
      </c>
      <c r="C537" s="1" t="str">
        <f>IFERROR(__xludf.DUMMYFUNCTION("""COMPUTED_VALUE"""),"treatment")</f>
        <v>treatment</v>
      </c>
      <c r="D537" s="1" t="str">
        <f>IFERROR(__xludf.DUMMYFUNCTION("""COMPUTED_VALUE"""),"new_page")</f>
        <v>new_page</v>
      </c>
      <c r="E537" s="1">
        <f>IFERROR(__xludf.DUMMYFUNCTION("""COMPUTED_VALUE"""),0.0)</f>
        <v>0</v>
      </c>
    </row>
    <row r="538">
      <c r="A538" s="1">
        <f>IFERROR(__xludf.DUMMYFUNCTION("""COMPUTED_VALUE"""),715337.0)</f>
        <v>715337</v>
      </c>
      <c r="B538" s="2">
        <f>IFERROR(__xludf.DUMMYFUNCTION("""COMPUTED_VALUE"""),42748.05959502919)</f>
        <v>42748.0596</v>
      </c>
      <c r="C538" s="1" t="str">
        <f>IFERROR(__xludf.DUMMYFUNCTION("""COMPUTED_VALUE"""),"control")</f>
        <v>control</v>
      </c>
      <c r="D538" s="1" t="str">
        <f>IFERROR(__xludf.DUMMYFUNCTION("""COMPUTED_VALUE"""),"old_page")</f>
        <v>old_page</v>
      </c>
      <c r="E538" s="1">
        <f>IFERROR(__xludf.DUMMYFUNCTION("""COMPUTED_VALUE"""),0.0)</f>
        <v>0</v>
      </c>
    </row>
    <row r="539">
      <c r="A539" s="1">
        <f>IFERROR(__xludf.DUMMYFUNCTION("""COMPUTED_VALUE"""),765973.0)</f>
        <v>765973</v>
      </c>
      <c r="B539" s="2">
        <f>IFERROR(__xludf.DUMMYFUNCTION("""COMPUTED_VALUE"""),42741.783172494004)</f>
        <v>42741.78317</v>
      </c>
      <c r="C539" s="1" t="str">
        <f>IFERROR(__xludf.DUMMYFUNCTION("""COMPUTED_VALUE"""),"treatment")</f>
        <v>treatment</v>
      </c>
      <c r="D539" s="1" t="str">
        <f>IFERROR(__xludf.DUMMYFUNCTION("""COMPUTED_VALUE"""),"new_page")</f>
        <v>new_page</v>
      </c>
      <c r="E539" s="1">
        <f>IFERROR(__xludf.DUMMYFUNCTION("""COMPUTED_VALUE"""),0.0)</f>
        <v>0</v>
      </c>
    </row>
    <row r="540">
      <c r="A540" s="1">
        <f>IFERROR(__xludf.DUMMYFUNCTION("""COMPUTED_VALUE"""),783263.0)</f>
        <v>783263</v>
      </c>
      <c r="B540" s="2">
        <f>IFERROR(__xludf.DUMMYFUNCTION("""COMPUTED_VALUE"""),42746.75323693595)</f>
        <v>42746.75324</v>
      </c>
      <c r="C540" s="1" t="str">
        <f>IFERROR(__xludf.DUMMYFUNCTION("""COMPUTED_VALUE"""),"treatment")</f>
        <v>treatment</v>
      </c>
      <c r="D540" s="1" t="str">
        <f>IFERROR(__xludf.DUMMYFUNCTION("""COMPUTED_VALUE"""),"new_page")</f>
        <v>new_page</v>
      </c>
      <c r="E540" s="1">
        <f>IFERROR(__xludf.DUMMYFUNCTION("""COMPUTED_VALUE"""),0.0)</f>
        <v>0</v>
      </c>
    </row>
    <row r="541">
      <c r="A541" s="1">
        <f>IFERROR(__xludf.DUMMYFUNCTION("""COMPUTED_VALUE"""),808589.0)</f>
        <v>808589</v>
      </c>
      <c r="B541" s="2">
        <f>IFERROR(__xludf.DUMMYFUNCTION("""COMPUTED_VALUE"""),42758.786596520535)</f>
        <v>42758.7866</v>
      </c>
      <c r="C541" s="1" t="str">
        <f>IFERROR(__xludf.DUMMYFUNCTION("""COMPUTED_VALUE"""),"control")</f>
        <v>control</v>
      </c>
      <c r="D541" s="1" t="str">
        <f>IFERROR(__xludf.DUMMYFUNCTION("""COMPUTED_VALUE"""),"old_page")</f>
        <v>old_page</v>
      </c>
      <c r="E541" s="1">
        <f>IFERROR(__xludf.DUMMYFUNCTION("""COMPUTED_VALUE"""),0.0)</f>
        <v>0</v>
      </c>
    </row>
    <row r="542">
      <c r="A542" s="1">
        <f>IFERROR(__xludf.DUMMYFUNCTION("""COMPUTED_VALUE"""),820354.0)</f>
        <v>820354</v>
      </c>
      <c r="B542" s="2">
        <f>IFERROR(__xludf.DUMMYFUNCTION("""COMPUTED_VALUE"""),42751.07621750881)</f>
        <v>42751.07622</v>
      </c>
      <c r="C542" s="1" t="str">
        <f>IFERROR(__xludf.DUMMYFUNCTION("""COMPUTED_VALUE"""),"control")</f>
        <v>control</v>
      </c>
      <c r="D542" s="1" t="str">
        <f>IFERROR(__xludf.DUMMYFUNCTION("""COMPUTED_VALUE"""),"old_page")</f>
        <v>old_page</v>
      </c>
      <c r="E542" s="1">
        <f>IFERROR(__xludf.DUMMYFUNCTION("""COMPUTED_VALUE"""),0.0)</f>
        <v>0</v>
      </c>
    </row>
    <row r="543">
      <c r="A543" s="1">
        <f>IFERROR(__xludf.DUMMYFUNCTION("""COMPUTED_VALUE"""),684681.0)</f>
        <v>684681</v>
      </c>
      <c r="B543" s="2">
        <f>IFERROR(__xludf.DUMMYFUNCTION("""COMPUTED_VALUE"""),42748.90622000857)</f>
        <v>42748.90622</v>
      </c>
      <c r="C543" s="1" t="str">
        <f>IFERROR(__xludf.DUMMYFUNCTION("""COMPUTED_VALUE"""),"control")</f>
        <v>control</v>
      </c>
      <c r="D543" s="1" t="str">
        <f>IFERROR(__xludf.DUMMYFUNCTION("""COMPUTED_VALUE"""),"old_page")</f>
        <v>old_page</v>
      </c>
      <c r="E543" s="1">
        <f>IFERROR(__xludf.DUMMYFUNCTION("""COMPUTED_VALUE"""),0.0)</f>
        <v>0</v>
      </c>
    </row>
    <row r="544">
      <c r="A544" s="1">
        <f>IFERROR(__xludf.DUMMYFUNCTION("""COMPUTED_VALUE"""),823585.0)</f>
        <v>823585</v>
      </c>
      <c r="B544" s="2">
        <f>IFERROR(__xludf.DUMMYFUNCTION("""COMPUTED_VALUE"""),42741.56865012727)</f>
        <v>42741.56865</v>
      </c>
      <c r="C544" s="1" t="str">
        <f>IFERROR(__xludf.DUMMYFUNCTION("""COMPUTED_VALUE"""),"treatment")</f>
        <v>treatment</v>
      </c>
      <c r="D544" s="1" t="str">
        <f>IFERROR(__xludf.DUMMYFUNCTION("""COMPUTED_VALUE"""),"new_page")</f>
        <v>new_page</v>
      </c>
      <c r="E544" s="1">
        <f>IFERROR(__xludf.DUMMYFUNCTION("""COMPUTED_VALUE"""),0.0)</f>
        <v>0</v>
      </c>
    </row>
    <row r="545">
      <c r="A545" s="1">
        <f>IFERROR(__xludf.DUMMYFUNCTION("""COMPUTED_VALUE"""),740343.0)</f>
        <v>740343</v>
      </c>
      <c r="B545" s="2">
        <f>IFERROR(__xludf.DUMMYFUNCTION("""COMPUTED_VALUE"""),42757.42643723823)</f>
        <v>42757.42644</v>
      </c>
      <c r="C545" s="1" t="str">
        <f>IFERROR(__xludf.DUMMYFUNCTION("""COMPUTED_VALUE"""),"treatment")</f>
        <v>treatment</v>
      </c>
      <c r="D545" s="1" t="str">
        <f>IFERROR(__xludf.DUMMYFUNCTION("""COMPUTED_VALUE"""),"new_page")</f>
        <v>new_page</v>
      </c>
      <c r="E545" s="1">
        <f>IFERROR(__xludf.DUMMYFUNCTION("""COMPUTED_VALUE"""),0.0)</f>
        <v>0</v>
      </c>
    </row>
    <row r="546">
      <c r="A546" s="1">
        <f>IFERROR(__xludf.DUMMYFUNCTION("""COMPUTED_VALUE"""),733434.0)</f>
        <v>733434</v>
      </c>
      <c r="B546" s="2">
        <f>IFERROR(__xludf.DUMMYFUNCTION("""COMPUTED_VALUE"""),42752.547606538)</f>
        <v>42752.54761</v>
      </c>
      <c r="C546" s="1" t="str">
        <f>IFERROR(__xludf.DUMMYFUNCTION("""COMPUTED_VALUE"""),"control")</f>
        <v>control</v>
      </c>
      <c r="D546" s="1" t="str">
        <f>IFERROR(__xludf.DUMMYFUNCTION("""COMPUTED_VALUE"""),"old_page")</f>
        <v>old_page</v>
      </c>
      <c r="E546" s="1">
        <f>IFERROR(__xludf.DUMMYFUNCTION("""COMPUTED_VALUE"""),1.0)</f>
        <v>1</v>
      </c>
    </row>
    <row r="547">
      <c r="A547" s="1">
        <f>IFERROR(__xludf.DUMMYFUNCTION("""COMPUTED_VALUE"""),794558.0)</f>
        <v>794558</v>
      </c>
      <c r="B547" s="2">
        <f>IFERROR(__xludf.DUMMYFUNCTION("""COMPUTED_VALUE"""),42751.51798445184)</f>
        <v>42751.51798</v>
      </c>
      <c r="C547" s="1" t="str">
        <f>IFERROR(__xludf.DUMMYFUNCTION("""COMPUTED_VALUE"""),"treatment")</f>
        <v>treatment</v>
      </c>
      <c r="D547" s="1" t="str">
        <f>IFERROR(__xludf.DUMMYFUNCTION("""COMPUTED_VALUE"""),"new_page")</f>
        <v>new_page</v>
      </c>
      <c r="E547" s="1">
        <f>IFERROR(__xludf.DUMMYFUNCTION("""COMPUTED_VALUE"""),0.0)</f>
        <v>0</v>
      </c>
    </row>
    <row r="548">
      <c r="A548" s="1">
        <f>IFERROR(__xludf.DUMMYFUNCTION("""COMPUTED_VALUE"""),674822.0)</f>
        <v>674822</v>
      </c>
      <c r="B548" s="2">
        <f>IFERROR(__xludf.DUMMYFUNCTION("""COMPUTED_VALUE"""),42755.06326992361)</f>
        <v>42755.06327</v>
      </c>
      <c r="C548" s="1" t="str">
        <f>IFERROR(__xludf.DUMMYFUNCTION("""COMPUTED_VALUE"""),"treatment")</f>
        <v>treatment</v>
      </c>
      <c r="D548" s="1" t="str">
        <f>IFERROR(__xludf.DUMMYFUNCTION("""COMPUTED_VALUE"""),"new_page")</f>
        <v>new_page</v>
      </c>
      <c r="E548" s="1">
        <f>IFERROR(__xludf.DUMMYFUNCTION("""COMPUTED_VALUE"""),0.0)</f>
        <v>0</v>
      </c>
    </row>
    <row r="549">
      <c r="A549" s="1">
        <f>IFERROR(__xludf.DUMMYFUNCTION("""COMPUTED_VALUE"""),898014.0)</f>
        <v>898014</v>
      </c>
      <c r="B549" s="2">
        <f>IFERROR(__xludf.DUMMYFUNCTION("""COMPUTED_VALUE"""),42738.051156006964)</f>
        <v>42738.05116</v>
      </c>
      <c r="C549" s="1" t="str">
        <f>IFERROR(__xludf.DUMMYFUNCTION("""COMPUTED_VALUE"""),"control")</f>
        <v>control</v>
      </c>
      <c r="D549" s="1" t="str">
        <f>IFERROR(__xludf.DUMMYFUNCTION("""COMPUTED_VALUE"""),"old_page")</f>
        <v>old_page</v>
      </c>
      <c r="E549" s="1">
        <f>IFERROR(__xludf.DUMMYFUNCTION("""COMPUTED_VALUE"""),0.0)</f>
        <v>0</v>
      </c>
    </row>
    <row r="550">
      <c r="A550" s="1">
        <f>IFERROR(__xludf.DUMMYFUNCTION("""COMPUTED_VALUE"""),900958.0)</f>
        <v>900958</v>
      </c>
      <c r="B550" s="2">
        <f>IFERROR(__xludf.DUMMYFUNCTION("""COMPUTED_VALUE"""),42739.359584349455)</f>
        <v>42739.35958</v>
      </c>
      <c r="C550" s="1" t="str">
        <f>IFERROR(__xludf.DUMMYFUNCTION("""COMPUTED_VALUE"""),"control")</f>
        <v>control</v>
      </c>
      <c r="D550" s="1" t="str">
        <f>IFERROR(__xludf.DUMMYFUNCTION("""COMPUTED_VALUE"""),"old_page")</f>
        <v>old_page</v>
      </c>
      <c r="E550" s="1">
        <f>IFERROR(__xludf.DUMMYFUNCTION("""COMPUTED_VALUE"""),1.0)</f>
        <v>1</v>
      </c>
    </row>
    <row r="551">
      <c r="A551" s="1">
        <f>IFERROR(__xludf.DUMMYFUNCTION("""COMPUTED_VALUE"""),744430.0)</f>
        <v>744430</v>
      </c>
      <c r="B551" s="2">
        <f>IFERROR(__xludf.DUMMYFUNCTION("""COMPUTED_VALUE"""),42752.37889973785)</f>
        <v>42752.3789</v>
      </c>
      <c r="C551" s="1" t="str">
        <f>IFERROR(__xludf.DUMMYFUNCTION("""COMPUTED_VALUE"""),"treatment")</f>
        <v>treatment</v>
      </c>
      <c r="D551" s="1" t="str">
        <f>IFERROR(__xludf.DUMMYFUNCTION("""COMPUTED_VALUE"""),"new_page")</f>
        <v>new_page</v>
      </c>
      <c r="E551" s="1">
        <f>IFERROR(__xludf.DUMMYFUNCTION("""COMPUTED_VALUE"""),0.0)</f>
        <v>0</v>
      </c>
    </row>
    <row r="552">
      <c r="A552" s="1">
        <f>IFERROR(__xludf.DUMMYFUNCTION("""COMPUTED_VALUE"""),926454.0)</f>
        <v>926454</v>
      </c>
      <c r="B552" s="2">
        <f>IFERROR(__xludf.DUMMYFUNCTION("""COMPUTED_VALUE"""),42751.03445641774)</f>
        <v>42751.03446</v>
      </c>
      <c r="C552" s="1" t="str">
        <f>IFERROR(__xludf.DUMMYFUNCTION("""COMPUTED_VALUE"""),"control")</f>
        <v>control</v>
      </c>
      <c r="D552" s="1" t="str">
        <f>IFERROR(__xludf.DUMMYFUNCTION("""COMPUTED_VALUE"""),"old_page")</f>
        <v>old_page</v>
      </c>
      <c r="E552" s="1">
        <f>IFERROR(__xludf.DUMMYFUNCTION("""COMPUTED_VALUE"""),0.0)</f>
        <v>0</v>
      </c>
    </row>
    <row r="553">
      <c r="A553" s="1">
        <f>IFERROR(__xludf.DUMMYFUNCTION("""COMPUTED_VALUE"""),852254.0)</f>
        <v>852254</v>
      </c>
      <c r="B553" s="2">
        <f>IFERROR(__xludf.DUMMYFUNCTION("""COMPUTED_VALUE"""),42757.340954428844)</f>
        <v>42757.34095</v>
      </c>
      <c r="C553" s="1" t="str">
        <f>IFERROR(__xludf.DUMMYFUNCTION("""COMPUTED_VALUE"""),"treatment")</f>
        <v>treatment</v>
      </c>
      <c r="D553" s="1" t="str">
        <f>IFERROR(__xludf.DUMMYFUNCTION("""COMPUTED_VALUE"""),"new_page")</f>
        <v>new_page</v>
      </c>
      <c r="E553" s="1">
        <f>IFERROR(__xludf.DUMMYFUNCTION("""COMPUTED_VALUE"""),0.0)</f>
        <v>0</v>
      </c>
    </row>
    <row r="554">
      <c r="A554" s="1">
        <f>IFERROR(__xludf.DUMMYFUNCTION("""COMPUTED_VALUE"""),921982.0)</f>
        <v>921982</v>
      </c>
      <c r="B554" s="2">
        <f>IFERROR(__xludf.DUMMYFUNCTION("""COMPUTED_VALUE"""),42758.141431296826)</f>
        <v>42758.14143</v>
      </c>
      <c r="C554" s="1" t="str">
        <f>IFERROR(__xludf.DUMMYFUNCTION("""COMPUTED_VALUE"""),"control")</f>
        <v>control</v>
      </c>
      <c r="D554" s="1" t="str">
        <f>IFERROR(__xludf.DUMMYFUNCTION("""COMPUTED_VALUE"""),"old_page")</f>
        <v>old_page</v>
      </c>
      <c r="E554" s="1">
        <f>IFERROR(__xludf.DUMMYFUNCTION("""COMPUTED_VALUE"""),0.0)</f>
        <v>0</v>
      </c>
    </row>
    <row r="555">
      <c r="A555" s="1">
        <f>IFERROR(__xludf.DUMMYFUNCTION("""COMPUTED_VALUE"""),838419.0)</f>
        <v>838419</v>
      </c>
      <c r="B555" s="2">
        <f>IFERROR(__xludf.DUMMYFUNCTION("""COMPUTED_VALUE"""),42746.05603580219)</f>
        <v>42746.05604</v>
      </c>
      <c r="C555" s="1" t="str">
        <f>IFERROR(__xludf.DUMMYFUNCTION("""COMPUTED_VALUE"""),"control")</f>
        <v>control</v>
      </c>
      <c r="D555" s="1" t="str">
        <f>IFERROR(__xludf.DUMMYFUNCTION("""COMPUTED_VALUE"""),"old_page")</f>
        <v>old_page</v>
      </c>
      <c r="E555" s="1">
        <f>IFERROR(__xludf.DUMMYFUNCTION("""COMPUTED_VALUE"""),0.0)</f>
        <v>0</v>
      </c>
    </row>
    <row r="556">
      <c r="A556" s="1">
        <f>IFERROR(__xludf.DUMMYFUNCTION("""COMPUTED_VALUE"""),772083.0)</f>
        <v>772083</v>
      </c>
      <c r="B556" s="2">
        <f>IFERROR(__xludf.DUMMYFUNCTION("""COMPUTED_VALUE"""),42750.02648772338)</f>
        <v>42750.02649</v>
      </c>
      <c r="C556" s="1" t="str">
        <f>IFERROR(__xludf.DUMMYFUNCTION("""COMPUTED_VALUE"""),"control")</f>
        <v>control</v>
      </c>
      <c r="D556" s="1" t="str">
        <f>IFERROR(__xludf.DUMMYFUNCTION("""COMPUTED_VALUE"""),"old_page")</f>
        <v>old_page</v>
      </c>
      <c r="E556" s="1">
        <f>IFERROR(__xludf.DUMMYFUNCTION("""COMPUTED_VALUE"""),0.0)</f>
        <v>0</v>
      </c>
    </row>
    <row r="557">
      <c r="A557" s="1">
        <f>IFERROR(__xludf.DUMMYFUNCTION("""COMPUTED_VALUE"""),888918.0)</f>
        <v>888918</v>
      </c>
      <c r="B557" s="2">
        <f>IFERROR(__xludf.DUMMYFUNCTION("""COMPUTED_VALUE"""),42746.55150074727)</f>
        <v>42746.5515</v>
      </c>
      <c r="C557" s="1" t="str">
        <f>IFERROR(__xludf.DUMMYFUNCTION("""COMPUTED_VALUE"""),"control")</f>
        <v>control</v>
      </c>
      <c r="D557" s="1" t="str">
        <f>IFERROR(__xludf.DUMMYFUNCTION("""COMPUTED_VALUE"""),"old_page")</f>
        <v>old_page</v>
      </c>
      <c r="E557" s="1">
        <f>IFERROR(__xludf.DUMMYFUNCTION("""COMPUTED_VALUE"""),0.0)</f>
        <v>0</v>
      </c>
    </row>
    <row r="558">
      <c r="A558" s="1">
        <f>IFERROR(__xludf.DUMMYFUNCTION("""COMPUTED_VALUE"""),800526.0)</f>
        <v>800526</v>
      </c>
      <c r="B558" s="2">
        <f>IFERROR(__xludf.DUMMYFUNCTION("""COMPUTED_VALUE"""),42752.3232991728)</f>
        <v>42752.3233</v>
      </c>
      <c r="C558" s="1" t="str">
        <f>IFERROR(__xludf.DUMMYFUNCTION("""COMPUTED_VALUE"""),"control")</f>
        <v>control</v>
      </c>
      <c r="D558" s="1" t="str">
        <f>IFERROR(__xludf.DUMMYFUNCTION("""COMPUTED_VALUE"""),"old_page")</f>
        <v>old_page</v>
      </c>
      <c r="E558" s="1">
        <f>IFERROR(__xludf.DUMMYFUNCTION("""COMPUTED_VALUE"""),0.0)</f>
        <v>0</v>
      </c>
    </row>
    <row r="559">
      <c r="A559" s="1">
        <f>IFERROR(__xludf.DUMMYFUNCTION("""COMPUTED_VALUE"""),930981.0)</f>
        <v>930981</v>
      </c>
      <c r="B559" s="2">
        <f>IFERROR(__xludf.DUMMYFUNCTION("""COMPUTED_VALUE"""),42756.706941029435)</f>
        <v>42756.70694</v>
      </c>
      <c r="C559" s="1" t="str">
        <f>IFERROR(__xludf.DUMMYFUNCTION("""COMPUTED_VALUE"""),"treatment")</f>
        <v>treatment</v>
      </c>
      <c r="D559" s="1" t="str">
        <f>IFERROR(__xludf.DUMMYFUNCTION("""COMPUTED_VALUE"""),"new_page")</f>
        <v>new_page</v>
      </c>
      <c r="E559" s="1">
        <f>IFERROR(__xludf.DUMMYFUNCTION("""COMPUTED_VALUE"""),1.0)</f>
        <v>1</v>
      </c>
    </row>
    <row r="560">
      <c r="A560" s="1">
        <f>IFERROR(__xludf.DUMMYFUNCTION("""COMPUTED_VALUE"""),846308.0)</f>
        <v>846308</v>
      </c>
      <c r="B560" s="2">
        <f>IFERROR(__xludf.DUMMYFUNCTION("""COMPUTED_VALUE"""),42753.745867902624)</f>
        <v>42753.74587</v>
      </c>
      <c r="C560" s="1" t="str">
        <f>IFERROR(__xludf.DUMMYFUNCTION("""COMPUTED_VALUE"""),"control")</f>
        <v>control</v>
      </c>
      <c r="D560" s="1" t="str">
        <f>IFERROR(__xludf.DUMMYFUNCTION("""COMPUTED_VALUE"""),"old_page")</f>
        <v>old_page</v>
      </c>
      <c r="E560" s="1">
        <f>IFERROR(__xludf.DUMMYFUNCTION("""COMPUTED_VALUE"""),0.0)</f>
        <v>0</v>
      </c>
    </row>
    <row r="561">
      <c r="A561" s="1">
        <f>IFERROR(__xludf.DUMMYFUNCTION("""COMPUTED_VALUE"""),904555.0)</f>
        <v>904555</v>
      </c>
      <c r="B561" s="2">
        <f>IFERROR(__xludf.DUMMYFUNCTION("""COMPUTED_VALUE"""),42744.92985606815)</f>
        <v>42744.92986</v>
      </c>
      <c r="C561" s="1" t="str">
        <f>IFERROR(__xludf.DUMMYFUNCTION("""COMPUTED_VALUE"""),"treatment")</f>
        <v>treatment</v>
      </c>
      <c r="D561" s="1" t="str">
        <f>IFERROR(__xludf.DUMMYFUNCTION("""COMPUTED_VALUE"""),"new_page")</f>
        <v>new_page</v>
      </c>
      <c r="E561" s="1">
        <f>IFERROR(__xludf.DUMMYFUNCTION("""COMPUTED_VALUE"""),0.0)</f>
        <v>0</v>
      </c>
    </row>
    <row r="562">
      <c r="A562" s="1">
        <f>IFERROR(__xludf.DUMMYFUNCTION("""COMPUTED_VALUE"""),894463.0)</f>
        <v>894463</v>
      </c>
      <c r="B562" s="2">
        <f>IFERROR(__xludf.DUMMYFUNCTION("""COMPUTED_VALUE"""),42751.03994103993)</f>
        <v>42751.03994</v>
      </c>
      <c r="C562" s="1" t="str">
        <f>IFERROR(__xludf.DUMMYFUNCTION("""COMPUTED_VALUE"""),"treatment")</f>
        <v>treatment</v>
      </c>
      <c r="D562" s="1" t="str">
        <f>IFERROR(__xludf.DUMMYFUNCTION("""COMPUTED_VALUE"""),"new_page")</f>
        <v>new_page</v>
      </c>
      <c r="E562" s="1">
        <f>IFERROR(__xludf.DUMMYFUNCTION("""COMPUTED_VALUE"""),0.0)</f>
        <v>0</v>
      </c>
    </row>
    <row r="563">
      <c r="A563" s="1">
        <f>IFERROR(__xludf.DUMMYFUNCTION("""COMPUTED_VALUE"""),888852.0)</f>
        <v>888852</v>
      </c>
      <c r="B563" s="2">
        <f>IFERROR(__xludf.DUMMYFUNCTION("""COMPUTED_VALUE"""),42756.82115653153)</f>
        <v>42756.82116</v>
      </c>
      <c r="C563" s="1" t="str">
        <f>IFERROR(__xludf.DUMMYFUNCTION("""COMPUTED_VALUE"""),"treatment")</f>
        <v>treatment</v>
      </c>
      <c r="D563" s="1" t="str">
        <f>IFERROR(__xludf.DUMMYFUNCTION("""COMPUTED_VALUE"""),"new_page")</f>
        <v>new_page</v>
      </c>
      <c r="E563" s="1">
        <f>IFERROR(__xludf.DUMMYFUNCTION("""COMPUTED_VALUE"""),0.0)</f>
        <v>0</v>
      </c>
    </row>
    <row r="564">
      <c r="A564" s="1">
        <f>IFERROR(__xludf.DUMMYFUNCTION("""COMPUTED_VALUE"""),763711.0)</f>
        <v>763711</v>
      </c>
      <c r="B564" s="2">
        <f>IFERROR(__xludf.DUMMYFUNCTION("""COMPUTED_VALUE"""),42745.10311324906)</f>
        <v>42745.10311</v>
      </c>
      <c r="C564" s="1" t="str">
        <f>IFERROR(__xludf.DUMMYFUNCTION("""COMPUTED_VALUE"""),"treatment")</f>
        <v>treatment</v>
      </c>
      <c r="D564" s="1" t="str">
        <f>IFERROR(__xludf.DUMMYFUNCTION("""COMPUTED_VALUE"""),"new_page")</f>
        <v>new_page</v>
      </c>
      <c r="E564" s="1">
        <f>IFERROR(__xludf.DUMMYFUNCTION("""COMPUTED_VALUE"""),0.0)</f>
        <v>0</v>
      </c>
    </row>
    <row r="565">
      <c r="A565" s="1">
        <f>IFERROR(__xludf.DUMMYFUNCTION("""COMPUTED_VALUE"""),652592.0)</f>
        <v>652592</v>
      </c>
      <c r="B565" s="2">
        <f>IFERROR(__xludf.DUMMYFUNCTION("""COMPUTED_VALUE"""),42756.37916006614)</f>
        <v>42756.37916</v>
      </c>
      <c r="C565" s="1" t="str">
        <f>IFERROR(__xludf.DUMMYFUNCTION("""COMPUTED_VALUE"""),"treatment")</f>
        <v>treatment</v>
      </c>
      <c r="D565" s="1" t="str">
        <f>IFERROR(__xludf.DUMMYFUNCTION("""COMPUTED_VALUE"""),"new_page")</f>
        <v>new_page</v>
      </c>
      <c r="E565" s="1">
        <f>IFERROR(__xludf.DUMMYFUNCTION("""COMPUTED_VALUE"""),0.0)</f>
        <v>0</v>
      </c>
    </row>
    <row r="566">
      <c r="A566" s="1">
        <f>IFERROR(__xludf.DUMMYFUNCTION("""COMPUTED_VALUE"""),733260.0)</f>
        <v>733260</v>
      </c>
      <c r="B566" s="2">
        <f>IFERROR(__xludf.DUMMYFUNCTION("""COMPUTED_VALUE"""),42747.26605038094)</f>
        <v>42747.26605</v>
      </c>
      <c r="C566" s="1" t="str">
        <f>IFERROR(__xludf.DUMMYFUNCTION("""COMPUTED_VALUE"""),"control")</f>
        <v>control</v>
      </c>
      <c r="D566" s="1" t="str">
        <f>IFERROR(__xludf.DUMMYFUNCTION("""COMPUTED_VALUE"""),"old_page")</f>
        <v>old_page</v>
      </c>
      <c r="E566" s="1">
        <f>IFERROR(__xludf.DUMMYFUNCTION("""COMPUTED_VALUE"""),1.0)</f>
        <v>1</v>
      </c>
    </row>
    <row r="567">
      <c r="A567" s="1">
        <f>IFERROR(__xludf.DUMMYFUNCTION("""COMPUTED_VALUE"""),752913.0)</f>
        <v>752913</v>
      </c>
      <c r="B567" s="2">
        <f>IFERROR(__xludf.DUMMYFUNCTION("""COMPUTED_VALUE"""),42737.97841965387)</f>
        <v>42737.97842</v>
      </c>
      <c r="C567" s="1" t="str">
        <f>IFERROR(__xludf.DUMMYFUNCTION("""COMPUTED_VALUE"""),"treatment")</f>
        <v>treatment</v>
      </c>
      <c r="D567" s="1" t="str">
        <f>IFERROR(__xludf.DUMMYFUNCTION("""COMPUTED_VALUE"""),"new_page")</f>
        <v>new_page</v>
      </c>
      <c r="E567" s="1">
        <f>IFERROR(__xludf.DUMMYFUNCTION("""COMPUTED_VALUE"""),0.0)</f>
        <v>0</v>
      </c>
    </row>
    <row r="568">
      <c r="A568" s="1">
        <f>IFERROR(__xludf.DUMMYFUNCTION("""COMPUTED_VALUE"""),912425.0)</f>
        <v>912425</v>
      </c>
      <c r="B568" s="2">
        <f>IFERROR(__xludf.DUMMYFUNCTION("""COMPUTED_VALUE"""),42739.034572156444)</f>
        <v>42739.03457</v>
      </c>
      <c r="C568" s="1" t="str">
        <f>IFERROR(__xludf.DUMMYFUNCTION("""COMPUTED_VALUE"""),"control")</f>
        <v>control</v>
      </c>
      <c r="D568" s="1" t="str">
        <f>IFERROR(__xludf.DUMMYFUNCTION("""COMPUTED_VALUE"""),"old_page")</f>
        <v>old_page</v>
      </c>
      <c r="E568" s="1">
        <f>IFERROR(__xludf.DUMMYFUNCTION("""COMPUTED_VALUE"""),0.0)</f>
        <v>0</v>
      </c>
    </row>
    <row r="569">
      <c r="A569" s="1">
        <f>IFERROR(__xludf.DUMMYFUNCTION("""COMPUTED_VALUE"""),903546.0)</f>
        <v>903546</v>
      </c>
      <c r="B569" s="2">
        <f>IFERROR(__xludf.DUMMYFUNCTION("""COMPUTED_VALUE"""),42759.25844559823)</f>
        <v>42759.25845</v>
      </c>
      <c r="C569" s="1" t="str">
        <f>IFERROR(__xludf.DUMMYFUNCTION("""COMPUTED_VALUE"""),"control")</f>
        <v>control</v>
      </c>
      <c r="D569" s="1" t="str">
        <f>IFERROR(__xludf.DUMMYFUNCTION("""COMPUTED_VALUE"""),"old_page")</f>
        <v>old_page</v>
      </c>
      <c r="E569" s="1">
        <f>IFERROR(__xludf.DUMMYFUNCTION("""COMPUTED_VALUE"""),1.0)</f>
        <v>1</v>
      </c>
    </row>
    <row r="570">
      <c r="A570" s="1">
        <f>IFERROR(__xludf.DUMMYFUNCTION("""COMPUTED_VALUE"""),832861.0)</f>
        <v>832861</v>
      </c>
      <c r="B570" s="2">
        <f>IFERROR(__xludf.DUMMYFUNCTION("""COMPUTED_VALUE"""),42751.85816528243)</f>
        <v>42751.85817</v>
      </c>
      <c r="C570" s="1" t="str">
        <f>IFERROR(__xludf.DUMMYFUNCTION("""COMPUTED_VALUE"""),"treatment")</f>
        <v>treatment</v>
      </c>
      <c r="D570" s="1" t="str">
        <f>IFERROR(__xludf.DUMMYFUNCTION("""COMPUTED_VALUE"""),"new_page")</f>
        <v>new_page</v>
      </c>
      <c r="E570" s="1">
        <f>IFERROR(__xludf.DUMMYFUNCTION("""COMPUTED_VALUE"""),1.0)</f>
        <v>1</v>
      </c>
    </row>
    <row r="571">
      <c r="A571" s="1">
        <f>IFERROR(__xludf.DUMMYFUNCTION("""COMPUTED_VALUE"""),832425.0)</f>
        <v>832425</v>
      </c>
      <c r="B571" s="2">
        <f>IFERROR(__xludf.DUMMYFUNCTION("""COMPUTED_VALUE"""),42744.03986883374)</f>
        <v>42744.03987</v>
      </c>
      <c r="C571" s="1" t="str">
        <f>IFERROR(__xludf.DUMMYFUNCTION("""COMPUTED_VALUE"""),"control")</f>
        <v>control</v>
      </c>
      <c r="D571" s="1" t="str">
        <f>IFERROR(__xludf.DUMMYFUNCTION("""COMPUTED_VALUE"""),"old_page")</f>
        <v>old_page</v>
      </c>
      <c r="E571" s="1">
        <f>IFERROR(__xludf.DUMMYFUNCTION("""COMPUTED_VALUE"""),1.0)</f>
        <v>1</v>
      </c>
    </row>
    <row r="572">
      <c r="A572" s="1">
        <f>IFERROR(__xludf.DUMMYFUNCTION("""COMPUTED_VALUE"""),920035.0)</f>
        <v>920035</v>
      </c>
      <c r="B572" s="2">
        <f>IFERROR(__xludf.DUMMYFUNCTION("""COMPUTED_VALUE"""),42754.76004665713)</f>
        <v>42754.76005</v>
      </c>
      <c r="C572" s="1" t="str">
        <f>IFERROR(__xludf.DUMMYFUNCTION("""COMPUTED_VALUE"""),"treatment")</f>
        <v>treatment</v>
      </c>
      <c r="D572" s="1" t="str">
        <f>IFERROR(__xludf.DUMMYFUNCTION("""COMPUTED_VALUE"""),"new_page")</f>
        <v>new_page</v>
      </c>
      <c r="E572" s="1">
        <f>IFERROR(__xludf.DUMMYFUNCTION("""COMPUTED_VALUE"""),0.0)</f>
        <v>0</v>
      </c>
    </row>
    <row r="573">
      <c r="A573" s="1">
        <f>IFERROR(__xludf.DUMMYFUNCTION("""COMPUTED_VALUE"""),939883.0)</f>
        <v>939883</v>
      </c>
      <c r="B573" s="2">
        <f>IFERROR(__xludf.DUMMYFUNCTION("""COMPUTED_VALUE"""),42744.54410991915)</f>
        <v>42744.54411</v>
      </c>
      <c r="C573" s="1" t="str">
        <f>IFERROR(__xludf.DUMMYFUNCTION("""COMPUTED_VALUE"""),"treatment")</f>
        <v>treatment</v>
      </c>
      <c r="D573" s="1" t="str">
        <f>IFERROR(__xludf.DUMMYFUNCTION("""COMPUTED_VALUE"""),"new_page")</f>
        <v>new_page</v>
      </c>
      <c r="E573" s="1">
        <f>IFERROR(__xludf.DUMMYFUNCTION("""COMPUTED_VALUE"""),0.0)</f>
        <v>0</v>
      </c>
    </row>
    <row r="574">
      <c r="A574" s="1">
        <f>IFERROR(__xludf.DUMMYFUNCTION("""COMPUTED_VALUE"""),871237.0)</f>
        <v>871237</v>
      </c>
      <c r="B574" s="2">
        <f>IFERROR(__xludf.DUMMYFUNCTION("""COMPUTED_VALUE"""),42738.28612138519)</f>
        <v>42738.28612</v>
      </c>
      <c r="C574" s="1" t="str">
        <f>IFERROR(__xludf.DUMMYFUNCTION("""COMPUTED_VALUE"""),"control")</f>
        <v>control</v>
      </c>
      <c r="D574" s="1" t="str">
        <f>IFERROR(__xludf.DUMMYFUNCTION("""COMPUTED_VALUE"""),"old_page")</f>
        <v>old_page</v>
      </c>
      <c r="E574" s="1">
        <f>IFERROR(__xludf.DUMMYFUNCTION("""COMPUTED_VALUE"""),0.0)</f>
        <v>0</v>
      </c>
    </row>
    <row r="575">
      <c r="A575" s="1">
        <f>IFERROR(__xludf.DUMMYFUNCTION("""COMPUTED_VALUE"""),917112.0)</f>
        <v>917112</v>
      </c>
      <c r="B575" s="2">
        <f>IFERROR(__xludf.DUMMYFUNCTION("""COMPUTED_VALUE"""),42746.89707120476)</f>
        <v>42746.89707</v>
      </c>
      <c r="C575" s="1" t="str">
        <f>IFERROR(__xludf.DUMMYFUNCTION("""COMPUTED_VALUE"""),"control")</f>
        <v>control</v>
      </c>
      <c r="D575" s="1" t="str">
        <f>IFERROR(__xludf.DUMMYFUNCTION("""COMPUTED_VALUE"""),"old_page")</f>
        <v>old_page</v>
      </c>
      <c r="E575" s="1">
        <f>IFERROR(__xludf.DUMMYFUNCTION("""COMPUTED_VALUE"""),0.0)</f>
        <v>0</v>
      </c>
    </row>
    <row r="576">
      <c r="A576" s="1">
        <f>IFERROR(__xludf.DUMMYFUNCTION("""COMPUTED_VALUE"""),866477.0)</f>
        <v>866477</v>
      </c>
      <c r="B576" s="2">
        <f>IFERROR(__xludf.DUMMYFUNCTION("""COMPUTED_VALUE"""),42746.15183718441)</f>
        <v>42746.15184</v>
      </c>
      <c r="C576" s="1" t="str">
        <f>IFERROR(__xludf.DUMMYFUNCTION("""COMPUTED_VALUE"""),"treatment")</f>
        <v>treatment</v>
      </c>
      <c r="D576" s="1" t="str">
        <f>IFERROR(__xludf.DUMMYFUNCTION("""COMPUTED_VALUE"""),"new_page")</f>
        <v>new_page</v>
      </c>
      <c r="E576" s="1">
        <f>IFERROR(__xludf.DUMMYFUNCTION("""COMPUTED_VALUE"""),0.0)</f>
        <v>0</v>
      </c>
    </row>
    <row r="577">
      <c r="A577" s="1">
        <f>IFERROR(__xludf.DUMMYFUNCTION("""COMPUTED_VALUE"""),661249.0)</f>
        <v>661249</v>
      </c>
      <c r="B577" s="2">
        <f>IFERROR(__xludf.DUMMYFUNCTION("""COMPUTED_VALUE"""),42746.61117731625)</f>
        <v>42746.61118</v>
      </c>
      <c r="C577" s="1" t="str">
        <f>IFERROR(__xludf.DUMMYFUNCTION("""COMPUTED_VALUE"""),"control")</f>
        <v>control</v>
      </c>
      <c r="D577" s="1" t="str">
        <f>IFERROR(__xludf.DUMMYFUNCTION("""COMPUTED_VALUE"""),"old_page")</f>
        <v>old_page</v>
      </c>
      <c r="E577" s="1">
        <f>IFERROR(__xludf.DUMMYFUNCTION("""COMPUTED_VALUE"""),0.0)</f>
        <v>0</v>
      </c>
    </row>
    <row r="578">
      <c r="A578" s="1">
        <f>IFERROR(__xludf.DUMMYFUNCTION("""COMPUTED_VALUE"""),635634.0)</f>
        <v>635634</v>
      </c>
      <c r="B578" s="2">
        <f>IFERROR(__xludf.DUMMYFUNCTION("""COMPUTED_VALUE"""),42753.23875843643)</f>
        <v>42753.23876</v>
      </c>
      <c r="C578" s="1" t="str">
        <f>IFERROR(__xludf.DUMMYFUNCTION("""COMPUTED_VALUE"""),"treatment")</f>
        <v>treatment</v>
      </c>
      <c r="D578" s="1" t="str">
        <f>IFERROR(__xludf.DUMMYFUNCTION("""COMPUTED_VALUE"""),"new_page")</f>
        <v>new_page</v>
      </c>
      <c r="E578" s="1">
        <f>IFERROR(__xludf.DUMMYFUNCTION("""COMPUTED_VALUE"""),0.0)</f>
        <v>0</v>
      </c>
    </row>
    <row r="579">
      <c r="A579" s="1">
        <f>IFERROR(__xludf.DUMMYFUNCTION("""COMPUTED_VALUE"""),673153.0)</f>
        <v>673153</v>
      </c>
      <c r="B579" s="2">
        <f>IFERROR(__xludf.DUMMYFUNCTION("""COMPUTED_VALUE"""),42737.72410175236)</f>
        <v>42737.7241</v>
      </c>
      <c r="C579" s="1" t="str">
        <f>IFERROR(__xludf.DUMMYFUNCTION("""COMPUTED_VALUE"""),"control")</f>
        <v>control</v>
      </c>
      <c r="D579" s="1" t="str">
        <f>IFERROR(__xludf.DUMMYFUNCTION("""COMPUTED_VALUE"""),"old_page")</f>
        <v>old_page</v>
      </c>
      <c r="E579" s="1">
        <f>IFERROR(__xludf.DUMMYFUNCTION("""COMPUTED_VALUE"""),1.0)</f>
        <v>1</v>
      </c>
    </row>
    <row r="580">
      <c r="A580" s="1">
        <f>IFERROR(__xludf.DUMMYFUNCTION("""COMPUTED_VALUE"""),670161.0)</f>
        <v>670161</v>
      </c>
      <c r="B580" s="2">
        <f>IFERROR(__xludf.DUMMYFUNCTION("""COMPUTED_VALUE"""),42744.89225004811)</f>
        <v>42744.89225</v>
      </c>
      <c r="C580" s="1" t="str">
        <f>IFERROR(__xludf.DUMMYFUNCTION("""COMPUTED_VALUE"""),"control")</f>
        <v>control</v>
      </c>
      <c r="D580" s="1" t="str">
        <f>IFERROR(__xludf.DUMMYFUNCTION("""COMPUTED_VALUE"""),"old_page")</f>
        <v>old_page</v>
      </c>
      <c r="E580" s="1">
        <f>IFERROR(__xludf.DUMMYFUNCTION("""COMPUTED_VALUE"""),0.0)</f>
        <v>0</v>
      </c>
    </row>
    <row r="581">
      <c r="A581" s="1">
        <f>IFERROR(__xludf.DUMMYFUNCTION("""COMPUTED_VALUE"""),696211.0)</f>
        <v>696211</v>
      </c>
      <c r="B581" s="2">
        <f>IFERROR(__xludf.DUMMYFUNCTION("""COMPUTED_VALUE"""),42745.11174112414)</f>
        <v>42745.11174</v>
      </c>
      <c r="C581" s="1" t="str">
        <f>IFERROR(__xludf.DUMMYFUNCTION("""COMPUTED_VALUE"""),"treatment")</f>
        <v>treatment</v>
      </c>
      <c r="D581" s="1" t="str">
        <f>IFERROR(__xludf.DUMMYFUNCTION("""COMPUTED_VALUE"""),"new_page")</f>
        <v>new_page</v>
      </c>
      <c r="E581" s="1">
        <f>IFERROR(__xludf.DUMMYFUNCTION("""COMPUTED_VALUE"""),0.0)</f>
        <v>0</v>
      </c>
    </row>
    <row r="582">
      <c r="A582" s="1">
        <f>IFERROR(__xludf.DUMMYFUNCTION("""COMPUTED_VALUE"""),667213.0)</f>
        <v>667213</v>
      </c>
      <c r="B582" s="2">
        <f>IFERROR(__xludf.DUMMYFUNCTION("""COMPUTED_VALUE"""),42740.20219763643)</f>
        <v>42740.2022</v>
      </c>
      <c r="C582" s="1" t="str">
        <f>IFERROR(__xludf.DUMMYFUNCTION("""COMPUTED_VALUE"""),"treatment")</f>
        <v>treatment</v>
      </c>
      <c r="D582" s="1" t="str">
        <f>IFERROR(__xludf.DUMMYFUNCTION("""COMPUTED_VALUE"""),"new_page")</f>
        <v>new_page</v>
      </c>
      <c r="E582" s="1">
        <f>IFERROR(__xludf.DUMMYFUNCTION("""COMPUTED_VALUE"""),0.0)</f>
        <v>0</v>
      </c>
    </row>
    <row r="583">
      <c r="A583" s="1">
        <f>IFERROR(__xludf.DUMMYFUNCTION("""COMPUTED_VALUE"""),911626.0)</f>
        <v>911626</v>
      </c>
      <c r="B583" s="2">
        <f>IFERROR(__xludf.DUMMYFUNCTION("""COMPUTED_VALUE"""),42759.19298820689)</f>
        <v>42759.19299</v>
      </c>
      <c r="C583" s="1" t="str">
        <f>IFERROR(__xludf.DUMMYFUNCTION("""COMPUTED_VALUE"""),"treatment")</f>
        <v>treatment</v>
      </c>
      <c r="D583" s="1" t="str">
        <f>IFERROR(__xludf.DUMMYFUNCTION("""COMPUTED_VALUE"""),"new_page")</f>
        <v>new_page</v>
      </c>
      <c r="E583" s="1">
        <f>IFERROR(__xludf.DUMMYFUNCTION("""COMPUTED_VALUE"""),0.0)</f>
        <v>0</v>
      </c>
    </row>
    <row r="584">
      <c r="A584" s="1">
        <f>IFERROR(__xludf.DUMMYFUNCTION("""COMPUTED_VALUE"""),663583.0)</f>
        <v>663583</v>
      </c>
      <c r="B584" s="2">
        <f>IFERROR(__xludf.DUMMYFUNCTION("""COMPUTED_VALUE"""),42752.483566493705)</f>
        <v>42752.48357</v>
      </c>
      <c r="C584" s="1" t="str">
        <f>IFERROR(__xludf.DUMMYFUNCTION("""COMPUTED_VALUE"""),"treatment")</f>
        <v>treatment</v>
      </c>
      <c r="D584" s="1" t="str">
        <f>IFERROR(__xludf.DUMMYFUNCTION("""COMPUTED_VALUE"""),"new_page")</f>
        <v>new_page</v>
      </c>
      <c r="E584" s="1">
        <f>IFERROR(__xludf.DUMMYFUNCTION("""COMPUTED_VALUE"""),0.0)</f>
        <v>0</v>
      </c>
    </row>
    <row r="585">
      <c r="A585" s="1">
        <f>IFERROR(__xludf.DUMMYFUNCTION("""COMPUTED_VALUE"""),698397.0)</f>
        <v>698397</v>
      </c>
      <c r="B585" s="2">
        <f>IFERROR(__xludf.DUMMYFUNCTION("""COMPUTED_VALUE"""),42746.63059427647)</f>
        <v>42746.63059</v>
      </c>
      <c r="C585" s="1" t="str">
        <f>IFERROR(__xludf.DUMMYFUNCTION("""COMPUTED_VALUE"""),"treatment")</f>
        <v>treatment</v>
      </c>
      <c r="D585" s="1" t="str">
        <f>IFERROR(__xludf.DUMMYFUNCTION("""COMPUTED_VALUE"""),"new_page")</f>
        <v>new_page</v>
      </c>
      <c r="E585" s="1">
        <f>IFERROR(__xludf.DUMMYFUNCTION("""COMPUTED_VALUE"""),0.0)</f>
        <v>0</v>
      </c>
    </row>
    <row r="586">
      <c r="A586" s="1">
        <f>IFERROR(__xludf.DUMMYFUNCTION("""COMPUTED_VALUE"""),855839.0)</f>
        <v>855839</v>
      </c>
      <c r="B586" s="2">
        <f>IFERROR(__xludf.DUMMYFUNCTION("""COMPUTED_VALUE"""),42746.57749751597)</f>
        <v>42746.5775</v>
      </c>
      <c r="C586" s="1" t="str">
        <f>IFERROR(__xludf.DUMMYFUNCTION("""COMPUTED_VALUE"""),"treatment")</f>
        <v>treatment</v>
      </c>
      <c r="D586" s="1" t="str">
        <f>IFERROR(__xludf.DUMMYFUNCTION("""COMPUTED_VALUE"""),"new_page")</f>
        <v>new_page</v>
      </c>
      <c r="E586" s="1">
        <f>IFERROR(__xludf.DUMMYFUNCTION("""COMPUTED_VALUE"""),0.0)</f>
        <v>0</v>
      </c>
    </row>
    <row r="587">
      <c r="A587" s="1">
        <f>IFERROR(__xludf.DUMMYFUNCTION("""COMPUTED_VALUE"""),660142.0)</f>
        <v>660142</v>
      </c>
      <c r="B587" s="2">
        <f>IFERROR(__xludf.DUMMYFUNCTION("""COMPUTED_VALUE"""),42751.99092906967)</f>
        <v>42751.99093</v>
      </c>
      <c r="C587" s="1" t="str">
        <f>IFERROR(__xludf.DUMMYFUNCTION("""COMPUTED_VALUE"""),"control")</f>
        <v>control</v>
      </c>
      <c r="D587" s="1" t="str">
        <f>IFERROR(__xludf.DUMMYFUNCTION("""COMPUTED_VALUE"""),"old_page")</f>
        <v>old_page</v>
      </c>
      <c r="E587" s="1">
        <f>IFERROR(__xludf.DUMMYFUNCTION("""COMPUTED_VALUE"""),1.0)</f>
        <v>1</v>
      </c>
    </row>
    <row r="588">
      <c r="A588" s="1">
        <f>IFERROR(__xludf.DUMMYFUNCTION("""COMPUTED_VALUE"""),878195.0)</f>
        <v>878195</v>
      </c>
      <c r="B588" s="2">
        <f>IFERROR(__xludf.DUMMYFUNCTION("""COMPUTED_VALUE"""),42741.61884513544)</f>
        <v>42741.61885</v>
      </c>
      <c r="C588" s="1" t="str">
        <f>IFERROR(__xludf.DUMMYFUNCTION("""COMPUTED_VALUE"""),"control")</f>
        <v>control</v>
      </c>
      <c r="D588" s="1" t="str">
        <f>IFERROR(__xludf.DUMMYFUNCTION("""COMPUTED_VALUE"""),"old_page")</f>
        <v>old_page</v>
      </c>
      <c r="E588" s="1">
        <f>IFERROR(__xludf.DUMMYFUNCTION("""COMPUTED_VALUE"""),0.0)</f>
        <v>0</v>
      </c>
    </row>
    <row r="589">
      <c r="A589" s="1">
        <f>IFERROR(__xludf.DUMMYFUNCTION("""COMPUTED_VALUE"""),875816.0)</f>
        <v>875816</v>
      </c>
      <c r="B589" s="2">
        <f>IFERROR(__xludf.DUMMYFUNCTION("""COMPUTED_VALUE"""),42744.936264184726)</f>
        <v>42744.93626</v>
      </c>
      <c r="C589" s="1" t="str">
        <f>IFERROR(__xludf.DUMMYFUNCTION("""COMPUTED_VALUE"""),"control")</f>
        <v>control</v>
      </c>
      <c r="D589" s="1" t="str">
        <f>IFERROR(__xludf.DUMMYFUNCTION("""COMPUTED_VALUE"""),"old_page")</f>
        <v>old_page</v>
      </c>
      <c r="E589" s="1">
        <f>IFERROR(__xludf.DUMMYFUNCTION("""COMPUTED_VALUE"""),0.0)</f>
        <v>0</v>
      </c>
    </row>
    <row r="590">
      <c r="A590" s="1">
        <f>IFERROR(__xludf.DUMMYFUNCTION("""COMPUTED_VALUE"""),738099.0)</f>
        <v>738099</v>
      </c>
      <c r="B590" s="2">
        <f>IFERROR(__xludf.DUMMYFUNCTION("""COMPUTED_VALUE"""),42752.11407650432)</f>
        <v>42752.11408</v>
      </c>
      <c r="C590" s="1" t="str">
        <f>IFERROR(__xludf.DUMMYFUNCTION("""COMPUTED_VALUE"""),"control")</f>
        <v>control</v>
      </c>
      <c r="D590" s="1" t="str">
        <f>IFERROR(__xludf.DUMMYFUNCTION("""COMPUTED_VALUE"""),"old_page")</f>
        <v>old_page</v>
      </c>
      <c r="E590" s="1">
        <f>IFERROR(__xludf.DUMMYFUNCTION("""COMPUTED_VALUE"""),0.0)</f>
        <v>0</v>
      </c>
    </row>
    <row r="591">
      <c r="A591" s="1">
        <f>IFERROR(__xludf.DUMMYFUNCTION("""COMPUTED_VALUE"""),678368.0)</f>
        <v>678368</v>
      </c>
      <c r="B591" s="2">
        <f>IFERROR(__xludf.DUMMYFUNCTION("""COMPUTED_VALUE"""),42753.98717758603)</f>
        <v>42753.98718</v>
      </c>
      <c r="C591" s="1" t="str">
        <f>IFERROR(__xludf.DUMMYFUNCTION("""COMPUTED_VALUE"""),"control")</f>
        <v>control</v>
      </c>
      <c r="D591" s="1" t="str">
        <f>IFERROR(__xludf.DUMMYFUNCTION("""COMPUTED_VALUE"""),"old_page")</f>
        <v>old_page</v>
      </c>
      <c r="E591" s="1">
        <f>IFERROR(__xludf.DUMMYFUNCTION("""COMPUTED_VALUE"""),0.0)</f>
        <v>0</v>
      </c>
    </row>
    <row r="592">
      <c r="A592" s="1">
        <f>IFERROR(__xludf.DUMMYFUNCTION("""COMPUTED_VALUE"""),940842.0)</f>
        <v>940842</v>
      </c>
      <c r="B592" s="2">
        <f>IFERROR(__xludf.DUMMYFUNCTION("""COMPUTED_VALUE"""),42738.16148343579)</f>
        <v>42738.16148</v>
      </c>
      <c r="C592" s="1" t="str">
        <f>IFERROR(__xludf.DUMMYFUNCTION("""COMPUTED_VALUE"""),"control")</f>
        <v>control</v>
      </c>
      <c r="D592" s="1" t="str">
        <f>IFERROR(__xludf.DUMMYFUNCTION("""COMPUTED_VALUE"""),"old_page")</f>
        <v>old_page</v>
      </c>
      <c r="E592" s="1">
        <f>IFERROR(__xludf.DUMMYFUNCTION("""COMPUTED_VALUE"""),0.0)</f>
        <v>0</v>
      </c>
    </row>
    <row r="593">
      <c r="A593" s="1">
        <f>IFERROR(__xludf.DUMMYFUNCTION("""COMPUTED_VALUE"""),715750.0)</f>
        <v>715750</v>
      </c>
      <c r="B593" s="2">
        <f>IFERROR(__xludf.DUMMYFUNCTION("""COMPUTED_VALUE"""),42756.478408403156)</f>
        <v>42756.47841</v>
      </c>
      <c r="C593" s="1" t="str">
        <f>IFERROR(__xludf.DUMMYFUNCTION("""COMPUTED_VALUE"""),"treatment")</f>
        <v>treatment</v>
      </c>
      <c r="D593" s="1" t="str">
        <f>IFERROR(__xludf.DUMMYFUNCTION("""COMPUTED_VALUE"""),"new_page")</f>
        <v>new_page</v>
      </c>
      <c r="E593" s="1">
        <f>IFERROR(__xludf.DUMMYFUNCTION("""COMPUTED_VALUE"""),1.0)</f>
        <v>1</v>
      </c>
    </row>
    <row r="594">
      <c r="A594" s="1">
        <f>IFERROR(__xludf.DUMMYFUNCTION("""COMPUTED_VALUE"""),693846.0)</f>
        <v>693846</v>
      </c>
      <c r="B594" s="2">
        <f>IFERROR(__xludf.DUMMYFUNCTION("""COMPUTED_VALUE"""),42740.22191602758)</f>
        <v>42740.22192</v>
      </c>
      <c r="C594" s="1" t="str">
        <f>IFERROR(__xludf.DUMMYFUNCTION("""COMPUTED_VALUE"""),"treatment")</f>
        <v>treatment</v>
      </c>
      <c r="D594" s="1" t="str">
        <f>IFERROR(__xludf.DUMMYFUNCTION("""COMPUTED_VALUE"""),"new_page")</f>
        <v>new_page</v>
      </c>
      <c r="E594" s="1">
        <f>IFERROR(__xludf.DUMMYFUNCTION("""COMPUTED_VALUE"""),0.0)</f>
        <v>0</v>
      </c>
    </row>
    <row r="595">
      <c r="A595" s="1">
        <f>IFERROR(__xludf.DUMMYFUNCTION("""COMPUTED_VALUE"""),847729.0)</f>
        <v>847729</v>
      </c>
      <c r="B595" s="2">
        <f>IFERROR(__xludf.DUMMYFUNCTION("""COMPUTED_VALUE"""),42742.39743033103)</f>
        <v>42742.39743</v>
      </c>
      <c r="C595" s="1" t="str">
        <f>IFERROR(__xludf.DUMMYFUNCTION("""COMPUTED_VALUE"""),"treatment")</f>
        <v>treatment</v>
      </c>
      <c r="D595" s="1" t="str">
        <f>IFERROR(__xludf.DUMMYFUNCTION("""COMPUTED_VALUE"""),"new_page")</f>
        <v>new_page</v>
      </c>
      <c r="E595" s="1">
        <f>IFERROR(__xludf.DUMMYFUNCTION("""COMPUTED_VALUE"""),0.0)</f>
        <v>0</v>
      </c>
    </row>
    <row r="596">
      <c r="A596" s="1">
        <f>IFERROR(__xludf.DUMMYFUNCTION("""COMPUTED_VALUE"""),794730.0)</f>
        <v>794730</v>
      </c>
      <c r="B596" s="2">
        <f>IFERROR(__xludf.DUMMYFUNCTION("""COMPUTED_VALUE"""),42743.39281706174)</f>
        <v>42743.39282</v>
      </c>
      <c r="C596" s="1" t="str">
        <f>IFERROR(__xludf.DUMMYFUNCTION("""COMPUTED_VALUE"""),"control")</f>
        <v>control</v>
      </c>
      <c r="D596" s="1" t="str">
        <f>IFERROR(__xludf.DUMMYFUNCTION("""COMPUTED_VALUE"""),"old_page")</f>
        <v>old_page</v>
      </c>
      <c r="E596" s="1">
        <f>IFERROR(__xludf.DUMMYFUNCTION("""COMPUTED_VALUE"""),0.0)</f>
        <v>0</v>
      </c>
    </row>
    <row r="597">
      <c r="A597" s="1">
        <f>IFERROR(__xludf.DUMMYFUNCTION("""COMPUTED_VALUE"""),924843.0)</f>
        <v>924843</v>
      </c>
      <c r="B597" s="2">
        <f>IFERROR(__xludf.DUMMYFUNCTION("""COMPUTED_VALUE"""),42749.92463237664)</f>
        <v>42749.92463</v>
      </c>
      <c r="C597" s="1" t="str">
        <f>IFERROR(__xludf.DUMMYFUNCTION("""COMPUTED_VALUE"""),"treatment")</f>
        <v>treatment</v>
      </c>
      <c r="D597" s="1" t="str">
        <f>IFERROR(__xludf.DUMMYFUNCTION("""COMPUTED_VALUE"""),"new_page")</f>
        <v>new_page</v>
      </c>
      <c r="E597" s="1">
        <f>IFERROR(__xludf.DUMMYFUNCTION("""COMPUTED_VALUE"""),0.0)</f>
        <v>0</v>
      </c>
    </row>
    <row r="598">
      <c r="A598" s="1">
        <f>IFERROR(__xludf.DUMMYFUNCTION("""COMPUTED_VALUE"""),667271.0)</f>
        <v>667271</v>
      </c>
      <c r="B598" s="2">
        <f>IFERROR(__xludf.DUMMYFUNCTION("""COMPUTED_VALUE"""),42747.26106319965)</f>
        <v>42747.26106</v>
      </c>
      <c r="C598" s="1" t="str">
        <f>IFERROR(__xludf.DUMMYFUNCTION("""COMPUTED_VALUE"""),"control")</f>
        <v>control</v>
      </c>
      <c r="D598" s="1" t="str">
        <f>IFERROR(__xludf.DUMMYFUNCTION("""COMPUTED_VALUE"""),"old_page")</f>
        <v>old_page</v>
      </c>
      <c r="E598" s="1">
        <f>IFERROR(__xludf.DUMMYFUNCTION("""COMPUTED_VALUE"""),0.0)</f>
        <v>0</v>
      </c>
    </row>
    <row r="599">
      <c r="A599" s="1">
        <f>IFERROR(__xludf.DUMMYFUNCTION("""COMPUTED_VALUE"""),861792.0)</f>
        <v>861792</v>
      </c>
      <c r="B599" s="2">
        <f>IFERROR(__xludf.DUMMYFUNCTION("""COMPUTED_VALUE"""),42754.01784496727)</f>
        <v>42754.01784</v>
      </c>
      <c r="C599" s="1" t="str">
        <f>IFERROR(__xludf.DUMMYFUNCTION("""COMPUTED_VALUE"""),"control")</f>
        <v>control</v>
      </c>
      <c r="D599" s="1" t="str">
        <f>IFERROR(__xludf.DUMMYFUNCTION("""COMPUTED_VALUE"""),"old_page")</f>
        <v>old_page</v>
      </c>
      <c r="E599" s="1">
        <f>IFERROR(__xludf.DUMMYFUNCTION("""COMPUTED_VALUE"""),0.0)</f>
        <v>0</v>
      </c>
    </row>
    <row r="600">
      <c r="A600" s="1">
        <f>IFERROR(__xludf.DUMMYFUNCTION("""COMPUTED_VALUE"""),905045.0)</f>
        <v>905045</v>
      </c>
      <c r="B600" s="2">
        <f>IFERROR(__xludf.DUMMYFUNCTION("""COMPUTED_VALUE"""),42741.716273196515)</f>
        <v>42741.71627</v>
      </c>
      <c r="C600" s="1" t="str">
        <f>IFERROR(__xludf.DUMMYFUNCTION("""COMPUTED_VALUE"""),"treatment")</f>
        <v>treatment</v>
      </c>
      <c r="D600" s="1" t="str">
        <f>IFERROR(__xludf.DUMMYFUNCTION("""COMPUTED_VALUE"""),"new_page")</f>
        <v>new_page</v>
      </c>
      <c r="E600" s="1">
        <f>IFERROR(__xludf.DUMMYFUNCTION("""COMPUTED_VALUE"""),1.0)</f>
        <v>1</v>
      </c>
    </row>
    <row r="601">
      <c r="A601" s="1">
        <f>IFERROR(__xludf.DUMMYFUNCTION("""COMPUTED_VALUE"""),934287.0)</f>
        <v>934287</v>
      </c>
      <c r="B601" s="2">
        <f>IFERROR(__xludf.DUMMYFUNCTION("""COMPUTED_VALUE"""),42748.140897234596)</f>
        <v>42748.1409</v>
      </c>
      <c r="C601" s="1" t="str">
        <f>IFERROR(__xludf.DUMMYFUNCTION("""COMPUTED_VALUE"""),"treatment")</f>
        <v>treatment</v>
      </c>
      <c r="D601" s="1" t="str">
        <f>IFERROR(__xludf.DUMMYFUNCTION("""COMPUTED_VALUE"""),"new_page")</f>
        <v>new_page</v>
      </c>
      <c r="E601" s="1">
        <f>IFERROR(__xludf.DUMMYFUNCTION("""COMPUTED_VALUE"""),0.0)</f>
        <v>0</v>
      </c>
    </row>
    <row r="602">
      <c r="A602" s="1">
        <f>IFERROR(__xludf.DUMMYFUNCTION("""COMPUTED_VALUE"""),804015.0)</f>
        <v>804015</v>
      </c>
      <c r="B602" s="2">
        <f>IFERROR(__xludf.DUMMYFUNCTION("""COMPUTED_VALUE"""),42750.7914194793)</f>
        <v>42750.79142</v>
      </c>
      <c r="C602" s="1" t="str">
        <f>IFERROR(__xludf.DUMMYFUNCTION("""COMPUTED_VALUE"""),"control")</f>
        <v>control</v>
      </c>
      <c r="D602" s="1" t="str">
        <f>IFERROR(__xludf.DUMMYFUNCTION("""COMPUTED_VALUE"""),"old_page")</f>
        <v>old_page</v>
      </c>
      <c r="E602" s="1">
        <f>IFERROR(__xludf.DUMMYFUNCTION("""COMPUTED_VALUE"""),0.0)</f>
        <v>0</v>
      </c>
    </row>
    <row r="603">
      <c r="A603" s="1">
        <f>IFERROR(__xludf.DUMMYFUNCTION("""COMPUTED_VALUE"""),867032.0)</f>
        <v>867032</v>
      </c>
      <c r="B603" s="2">
        <f>IFERROR(__xludf.DUMMYFUNCTION("""COMPUTED_VALUE"""),42747.94573184375)</f>
        <v>42747.94573</v>
      </c>
      <c r="C603" s="1" t="str">
        <f>IFERROR(__xludf.DUMMYFUNCTION("""COMPUTED_VALUE"""),"control")</f>
        <v>control</v>
      </c>
      <c r="D603" s="1" t="str">
        <f>IFERROR(__xludf.DUMMYFUNCTION("""COMPUTED_VALUE"""),"old_page")</f>
        <v>old_page</v>
      </c>
      <c r="E603" s="1">
        <f>IFERROR(__xludf.DUMMYFUNCTION("""COMPUTED_VALUE"""),0.0)</f>
        <v>0</v>
      </c>
    </row>
    <row r="604">
      <c r="A604" s="1">
        <f>IFERROR(__xludf.DUMMYFUNCTION("""COMPUTED_VALUE"""),705723.0)</f>
        <v>705723</v>
      </c>
      <c r="B604" s="2">
        <f>IFERROR(__xludf.DUMMYFUNCTION("""COMPUTED_VALUE"""),42739.548334157334)</f>
        <v>42739.54833</v>
      </c>
      <c r="C604" s="1" t="str">
        <f>IFERROR(__xludf.DUMMYFUNCTION("""COMPUTED_VALUE"""),"treatment")</f>
        <v>treatment</v>
      </c>
      <c r="D604" s="1" t="str">
        <f>IFERROR(__xludf.DUMMYFUNCTION("""COMPUTED_VALUE"""),"new_page")</f>
        <v>new_page</v>
      </c>
      <c r="E604" s="1">
        <f>IFERROR(__xludf.DUMMYFUNCTION("""COMPUTED_VALUE"""),1.0)</f>
        <v>1</v>
      </c>
    </row>
    <row r="605">
      <c r="A605" s="1">
        <f>IFERROR(__xludf.DUMMYFUNCTION("""COMPUTED_VALUE"""),834185.0)</f>
        <v>834185</v>
      </c>
      <c r="B605" s="2">
        <f>IFERROR(__xludf.DUMMYFUNCTION("""COMPUTED_VALUE"""),42737.65887493774)</f>
        <v>42737.65887</v>
      </c>
      <c r="C605" s="1" t="str">
        <f>IFERROR(__xludf.DUMMYFUNCTION("""COMPUTED_VALUE"""),"treatment")</f>
        <v>treatment</v>
      </c>
      <c r="D605" s="1" t="str">
        <f>IFERROR(__xludf.DUMMYFUNCTION("""COMPUTED_VALUE"""),"new_page")</f>
        <v>new_page</v>
      </c>
      <c r="E605" s="1">
        <f>IFERROR(__xludf.DUMMYFUNCTION("""COMPUTED_VALUE"""),0.0)</f>
        <v>0</v>
      </c>
    </row>
    <row r="606">
      <c r="A606" s="1">
        <f>IFERROR(__xludf.DUMMYFUNCTION("""COMPUTED_VALUE"""),919879.0)</f>
        <v>919879</v>
      </c>
      <c r="B606" s="2">
        <f>IFERROR(__xludf.DUMMYFUNCTION("""COMPUTED_VALUE"""),42743.75933114193)</f>
        <v>42743.75933</v>
      </c>
      <c r="C606" s="1" t="str">
        <f>IFERROR(__xludf.DUMMYFUNCTION("""COMPUTED_VALUE"""),"control")</f>
        <v>control</v>
      </c>
      <c r="D606" s="1" t="str">
        <f>IFERROR(__xludf.DUMMYFUNCTION("""COMPUTED_VALUE"""),"old_page")</f>
        <v>old_page</v>
      </c>
      <c r="E606" s="1">
        <f>IFERROR(__xludf.DUMMYFUNCTION("""COMPUTED_VALUE"""),0.0)</f>
        <v>0</v>
      </c>
    </row>
    <row r="607">
      <c r="A607" s="1">
        <f>IFERROR(__xludf.DUMMYFUNCTION("""COMPUTED_VALUE"""),683154.0)</f>
        <v>683154</v>
      </c>
      <c r="B607" s="2">
        <f>IFERROR(__xludf.DUMMYFUNCTION("""COMPUTED_VALUE"""),42748.41050610018)</f>
        <v>42748.41051</v>
      </c>
      <c r="C607" s="1" t="str">
        <f>IFERROR(__xludf.DUMMYFUNCTION("""COMPUTED_VALUE"""),"treatment")</f>
        <v>treatment</v>
      </c>
      <c r="D607" s="1" t="str">
        <f>IFERROR(__xludf.DUMMYFUNCTION("""COMPUTED_VALUE"""),"new_page")</f>
        <v>new_page</v>
      </c>
      <c r="E607" s="1">
        <f>IFERROR(__xludf.DUMMYFUNCTION("""COMPUTED_VALUE"""),0.0)</f>
        <v>0</v>
      </c>
    </row>
    <row r="608">
      <c r="A608" s="1">
        <f>IFERROR(__xludf.DUMMYFUNCTION("""COMPUTED_VALUE"""),925707.0)</f>
        <v>925707</v>
      </c>
      <c r="B608" s="2">
        <f>IFERROR(__xludf.DUMMYFUNCTION("""COMPUTED_VALUE"""),42739.07252144199)</f>
        <v>42739.07252</v>
      </c>
      <c r="C608" s="1" t="str">
        <f>IFERROR(__xludf.DUMMYFUNCTION("""COMPUTED_VALUE"""),"treatment")</f>
        <v>treatment</v>
      </c>
      <c r="D608" s="1" t="str">
        <f>IFERROR(__xludf.DUMMYFUNCTION("""COMPUTED_VALUE"""),"new_page")</f>
        <v>new_page</v>
      </c>
      <c r="E608" s="1">
        <f>IFERROR(__xludf.DUMMYFUNCTION("""COMPUTED_VALUE"""),0.0)</f>
        <v>0</v>
      </c>
    </row>
    <row r="609">
      <c r="A609" s="1">
        <f>IFERROR(__xludf.DUMMYFUNCTION("""COMPUTED_VALUE"""),763879.0)</f>
        <v>763879</v>
      </c>
      <c r="B609" s="2">
        <f>IFERROR(__xludf.DUMMYFUNCTION("""COMPUTED_VALUE"""),42739.059129709814)</f>
        <v>42739.05913</v>
      </c>
      <c r="C609" s="1" t="str">
        <f>IFERROR(__xludf.DUMMYFUNCTION("""COMPUTED_VALUE"""),"control")</f>
        <v>control</v>
      </c>
      <c r="D609" s="1" t="str">
        <f>IFERROR(__xludf.DUMMYFUNCTION("""COMPUTED_VALUE"""),"old_page")</f>
        <v>old_page</v>
      </c>
      <c r="E609" s="1">
        <f>IFERROR(__xludf.DUMMYFUNCTION("""COMPUTED_VALUE"""),0.0)</f>
        <v>0</v>
      </c>
    </row>
    <row r="610">
      <c r="A610" s="1">
        <f>IFERROR(__xludf.DUMMYFUNCTION("""COMPUTED_VALUE"""),698672.0)</f>
        <v>698672</v>
      </c>
      <c r="B610" s="2">
        <f>IFERROR(__xludf.DUMMYFUNCTION("""COMPUTED_VALUE"""),42756.39403578382)</f>
        <v>42756.39404</v>
      </c>
      <c r="C610" s="1" t="str">
        <f>IFERROR(__xludf.DUMMYFUNCTION("""COMPUTED_VALUE"""),"control")</f>
        <v>control</v>
      </c>
      <c r="D610" s="1" t="str">
        <f>IFERROR(__xludf.DUMMYFUNCTION("""COMPUTED_VALUE"""),"old_page")</f>
        <v>old_page</v>
      </c>
      <c r="E610" s="1">
        <f>IFERROR(__xludf.DUMMYFUNCTION("""COMPUTED_VALUE"""),0.0)</f>
        <v>0</v>
      </c>
    </row>
    <row r="611">
      <c r="A611" s="1">
        <f>IFERROR(__xludf.DUMMYFUNCTION("""COMPUTED_VALUE"""),665736.0)</f>
        <v>665736</v>
      </c>
      <c r="B611" s="2">
        <f>IFERROR(__xludf.DUMMYFUNCTION("""COMPUTED_VALUE"""),42753.73521463691)</f>
        <v>42753.73521</v>
      </c>
      <c r="C611" s="1" t="str">
        <f>IFERROR(__xludf.DUMMYFUNCTION("""COMPUTED_VALUE"""),"treatment")</f>
        <v>treatment</v>
      </c>
      <c r="D611" s="1" t="str">
        <f>IFERROR(__xludf.DUMMYFUNCTION("""COMPUTED_VALUE"""),"new_page")</f>
        <v>new_page</v>
      </c>
      <c r="E611" s="1">
        <f>IFERROR(__xludf.DUMMYFUNCTION("""COMPUTED_VALUE"""),0.0)</f>
        <v>0</v>
      </c>
    </row>
    <row r="612">
      <c r="A612" s="1">
        <f>IFERROR(__xludf.DUMMYFUNCTION("""COMPUTED_VALUE"""),649841.0)</f>
        <v>649841</v>
      </c>
      <c r="B612" s="2">
        <f>IFERROR(__xludf.DUMMYFUNCTION("""COMPUTED_VALUE"""),42744.28008274983)</f>
        <v>42744.28008</v>
      </c>
      <c r="C612" s="1" t="str">
        <f>IFERROR(__xludf.DUMMYFUNCTION("""COMPUTED_VALUE"""),"control")</f>
        <v>control</v>
      </c>
      <c r="D612" s="1" t="str">
        <f>IFERROR(__xludf.DUMMYFUNCTION("""COMPUTED_VALUE"""),"old_page")</f>
        <v>old_page</v>
      </c>
      <c r="E612" s="1">
        <f>IFERROR(__xludf.DUMMYFUNCTION("""COMPUTED_VALUE"""),0.0)</f>
        <v>0</v>
      </c>
    </row>
    <row r="613">
      <c r="A613" s="1">
        <f>IFERROR(__xludf.DUMMYFUNCTION("""COMPUTED_VALUE"""),703888.0)</f>
        <v>703888</v>
      </c>
      <c r="B613" s="2">
        <f>IFERROR(__xludf.DUMMYFUNCTION("""COMPUTED_VALUE"""),42746.02394268743)</f>
        <v>42746.02394</v>
      </c>
      <c r="C613" s="1" t="str">
        <f>IFERROR(__xludf.DUMMYFUNCTION("""COMPUTED_VALUE"""),"treatment")</f>
        <v>treatment</v>
      </c>
      <c r="D613" s="1" t="str">
        <f>IFERROR(__xludf.DUMMYFUNCTION("""COMPUTED_VALUE"""),"new_page")</f>
        <v>new_page</v>
      </c>
      <c r="E613" s="1">
        <f>IFERROR(__xludf.DUMMYFUNCTION("""COMPUTED_VALUE"""),0.0)</f>
        <v>0</v>
      </c>
    </row>
    <row r="614">
      <c r="A614" s="1">
        <f>IFERROR(__xludf.DUMMYFUNCTION("""COMPUTED_VALUE"""),912559.0)</f>
        <v>912559</v>
      </c>
      <c r="B614" s="2">
        <f>IFERROR(__xludf.DUMMYFUNCTION("""COMPUTED_VALUE"""),42743.75568700648)</f>
        <v>42743.75569</v>
      </c>
      <c r="C614" s="1" t="str">
        <f>IFERROR(__xludf.DUMMYFUNCTION("""COMPUTED_VALUE"""),"treatment")</f>
        <v>treatment</v>
      </c>
      <c r="D614" s="1" t="str">
        <f>IFERROR(__xludf.DUMMYFUNCTION("""COMPUTED_VALUE"""),"new_page")</f>
        <v>new_page</v>
      </c>
      <c r="E614" s="1">
        <f>IFERROR(__xludf.DUMMYFUNCTION("""COMPUTED_VALUE"""),0.0)</f>
        <v>0</v>
      </c>
    </row>
    <row r="615">
      <c r="A615" s="1">
        <f>IFERROR(__xludf.DUMMYFUNCTION("""COMPUTED_VALUE"""),815085.0)</f>
        <v>815085</v>
      </c>
      <c r="B615" s="2">
        <f>IFERROR(__xludf.DUMMYFUNCTION("""COMPUTED_VALUE"""),42751.856444294215)</f>
        <v>42751.85644</v>
      </c>
      <c r="C615" s="1" t="str">
        <f>IFERROR(__xludf.DUMMYFUNCTION("""COMPUTED_VALUE"""),"treatment")</f>
        <v>treatment</v>
      </c>
      <c r="D615" s="1" t="str">
        <f>IFERROR(__xludf.DUMMYFUNCTION("""COMPUTED_VALUE"""),"new_page")</f>
        <v>new_page</v>
      </c>
      <c r="E615" s="1">
        <f>IFERROR(__xludf.DUMMYFUNCTION("""COMPUTED_VALUE"""),0.0)</f>
        <v>0</v>
      </c>
    </row>
    <row r="616">
      <c r="A616" s="1">
        <f>IFERROR(__xludf.DUMMYFUNCTION("""COMPUTED_VALUE"""),861126.0)</f>
        <v>861126</v>
      </c>
      <c r="B616" s="2">
        <f>IFERROR(__xludf.DUMMYFUNCTION("""COMPUTED_VALUE"""),42739.41830390251)</f>
        <v>42739.4183</v>
      </c>
      <c r="C616" s="1" t="str">
        <f>IFERROR(__xludf.DUMMYFUNCTION("""COMPUTED_VALUE"""),"treatment")</f>
        <v>treatment</v>
      </c>
      <c r="D616" s="1" t="str">
        <f>IFERROR(__xludf.DUMMYFUNCTION("""COMPUTED_VALUE"""),"new_page")</f>
        <v>new_page</v>
      </c>
      <c r="E616" s="1">
        <f>IFERROR(__xludf.DUMMYFUNCTION("""COMPUTED_VALUE"""),0.0)</f>
        <v>0</v>
      </c>
    </row>
    <row r="617">
      <c r="A617" s="1">
        <f>IFERROR(__xludf.DUMMYFUNCTION("""COMPUTED_VALUE"""),632433.0)</f>
        <v>632433</v>
      </c>
      <c r="B617" s="2">
        <f>IFERROR(__xludf.DUMMYFUNCTION("""COMPUTED_VALUE"""),42752.44298851224)</f>
        <v>42752.44299</v>
      </c>
      <c r="C617" s="1" t="str">
        <f>IFERROR(__xludf.DUMMYFUNCTION("""COMPUTED_VALUE"""),"treatment")</f>
        <v>treatment</v>
      </c>
      <c r="D617" s="1" t="str">
        <f>IFERROR(__xludf.DUMMYFUNCTION("""COMPUTED_VALUE"""),"new_page")</f>
        <v>new_page</v>
      </c>
      <c r="E617" s="1">
        <f>IFERROR(__xludf.DUMMYFUNCTION("""COMPUTED_VALUE"""),0.0)</f>
        <v>0</v>
      </c>
    </row>
    <row r="618">
      <c r="A618" s="1">
        <f>IFERROR(__xludf.DUMMYFUNCTION("""COMPUTED_VALUE"""),898866.0)</f>
        <v>898866</v>
      </c>
      <c r="B618" s="2">
        <f>IFERROR(__xludf.DUMMYFUNCTION("""COMPUTED_VALUE"""),42758.81167603044)</f>
        <v>42758.81168</v>
      </c>
      <c r="C618" s="1" t="str">
        <f>IFERROR(__xludf.DUMMYFUNCTION("""COMPUTED_VALUE"""),"control")</f>
        <v>control</v>
      </c>
      <c r="D618" s="1" t="str">
        <f>IFERROR(__xludf.DUMMYFUNCTION("""COMPUTED_VALUE"""),"old_page")</f>
        <v>old_page</v>
      </c>
      <c r="E618" s="1">
        <f>IFERROR(__xludf.DUMMYFUNCTION("""COMPUTED_VALUE"""),0.0)</f>
        <v>0</v>
      </c>
    </row>
    <row r="619">
      <c r="A619" s="1">
        <f>IFERROR(__xludf.DUMMYFUNCTION("""COMPUTED_VALUE"""),764268.0)</f>
        <v>764268</v>
      </c>
      <c r="B619" s="2">
        <f>IFERROR(__xludf.DUMMYFUNCTION("""COMPUTED_VALUE"""),42737.695139022755)</f>
        <v>42737.69514</v>
      </c>
      <c r="C619" s="1" t="str">
        <f>IFERROR(__xludf.DUMMYFUNCTION("""COMPUTED_VALUE"""),"treatment")</f>
        <v>treatment</v>
      </c>
      <c r="D619" s="1" t="str">
        <f>IFERROR(__xludf.DUMMYFUNCTION("""COMPUTED_VALUE"""),"new_page")</f>
        <v>new_page</v>
      </c>
      <c r="E619" s="1">
        <f>IFERROR(__xludf.DUMMYFUNCTION("""COMPUTED_VALUE"""),0.0)</f>
        <v>0</v>
      </c>
    </row>
    <row r="620">
      <c r="A620" s="1">
        <f>IFERROR(__xludf.DUMMYFUNCTION("""COMPUTED_VALUE"""),644505.0)</f>
        <v>644505</v>
      </c>
      <c r="B620" s="2">
        <f>IFERROR(__xludf.DUMMYFUNCTION("""COMPUTED_VALUE"""),42752.36647546272)</f>
        <v>42752.36648</v>
      </c>
      <c r="C620" s="1" t="str">
        <f>IFERROR(__xludf.DUMMYFUNCTION("""COMPUTED_VALUE"""),"control")</f>
        <v>control</v>
      </c>
      <c r="D620" s="1" t="str">
        <f>IFERROR(__xludf.DUMMYFUNCTION("""COMPUTED_VALUE"""),"old_page")</f>
        <v>old_page</v>
      </c>
      <c r="E620" s="1">
        <f>IFERROR(__xludf.DUMMYFUNCTION("""COMPUTED_VALUE"""),0.0)</f>
        <v>0</v>
      </c>
    </row>
    <row r="621">
      <c r="A621" s="1">
        <f>IFERROR(__xludf.DUMMYFUNCTION("""COMPUTED_VALUE"""),633083.0)</f>
        <v>633083</v>
      </c>
      <c r="B621" s="2">
        <f>IFERROR(__xludf.DUMMYFUNCTION("""COMPUTED_VALUE"""),42748.127519777605)</f>
        <v>42748.12752</v>
      </c>
      <c r="C621" s="1" t="str">
        <f>IFERROR(__xludf.DUMMYFUNCTION("""COMPUTED_VALUE"""),"control")</f>
        <v>control</v>
      </c>
      <c r="D621" s="1" t="str">
        <f>IFERROR(__xludf.DUMMYFUNCTION("""COMPUTED_VALUE"""),"old_page")</f>
        <v>old_page</v>
      </c>
      <c r="E621" s="1">
        <f>IFERROR(__xludf.DUMMYFUNCTION("""COMPUTED_VALUE"""),0.0)</f>
        <v>0</v>
      </c>
    </row>
    <row r="622">
      <c r="A622" s="1">
        <f>IFERROR(__xludf.DUMMYFUNCTION("""COMPUTED_VALUE"""),707238.0)</f>
        <v>707238</v>
      </c>
      <c r="B622" s="2">
        <f>IFERROR(__xludf.DUMMYFUNCTION("""COMPUTED_VALUE"""),42758.83010874381)</f>
        <v>42758.83011</v>
      </c>
      <c r="C622" s="1" t="str">
        <f>IFERROR(__xludf.DUMMYFUNCTION("""COMPUTED_VALUE"""),"control")</f>
        <v>control</v>
      </c>
      <c r="D622" s="1" t="str">
        <f>IFERROR(__xludf.DUMMYFUNCTION("""COMPUTED_VALUE"""),"old_page")</f>
        <v>old_page</v>
      </c>
      <c r="E622" s="1">
        <f>IFERROR(__xludf.DUMMYFUNCTION("""COMPUTED_VALUE"""),0.0)</f>
        <v>0</v>
      </c>
    </row>
    <row r="623">
      <c r="A623" s="1">
        <f>IFERROR(__xludf.DUMMYFUNCTION("""COMPUTED_VALUE"""),737623.0)</f>
        <v>737623</v>
      </c>
      <c r="B623" s="2">
        <f>IFERROR(__xludf.DUMMYFUNCTION("""COMPUTED_VALUE"""),42751.25586650487)</f>
        <v>42751.25587</v>
      </c>
      <c r="C623" s="1" t="str">
        <f>IFERROR(__xludf.DUMMYFUNCTION("""COMPUTED_VALUE"""),"treatment")</f>
        <v>treatment</v>
      </c>
      <c r="D623" s="1" t="str">
        <f>IFERROR(__xludf.DUMMYFUNCTION("""COMPUTED_VALUE"""),"new_page")</f>
        <v>new_page</v>
      </c>
      <c r="E623" s="1">
        <f>IFERROR(__xludf.DUMMYFUNCTION("""COMPUTED_VALUE"""),0.0)</f>
        <v>0</v>
      </c>
    </row>
    <row r="624">
      <c r="A624" s="1">
        <f>IFERROR(__xludf.DUMMYFUNCTION("""COMPUTED_VALUE"""),921128.0)</f>
        <v>921128</v>
      </c>
      <c r="B624" s="2">
        <f>IFERROR(__xludf.DUMMYFUNCTION("""COMPUTED_VALUE"""),42757.920549906645)</f>
        <v>42757.92055</v>
      </c>
      <c r="C624" s="1" t="str">
        <f>IFERROR(__xludf.DUMMYFUNCTION("""COMPUTED_VALUE"""),"treatment")</f>
        <v>treatment</v>
      </c>
      <c r="D624" s="1" t="str">
        <f>IFERROR(__xludf.DUMMYFUNCTION("""COMPUTED_VALUE"""),"new_page")</f>
        <v>new_page</v>
      </c>
      <c r="E624" s="1">
        <f>IFERROR(__xludf.DUMMYFUNCTION("""COMPUTED_VALUE"""),0.0)</f>
        <v>0</v>
      </c>
    </row>
    <row r="625">
      <c r="A625" s="1">
        <f>IFERROR(__xludf.DUMMYFUNCTION("""COMPUTED_VALUE"""),932857.0)</f>
        <v>932857</v>
      </c>
      <c r="B625" s="2">
        <f>IFERROR(__xludf.DUMMYFUNCTION("""COMPUTED_VALUE"""),42741.237655194294)</f>
        <v>42741.23766</v>
      </c>
      <c r="C625" s="1" t="str">
        <f>IFERROR(__xludf.DUMMYFUNCTION("""COMPUTED_VALUE"""),"treatment")</f>
        <v>treatment</v>
      </c>
      <c r="D625" s="1" t="str">
        <f>IFERROR(__xludf.DUMMYFUNCTION("""COMPUTED_VALUE"""),"new_page")</f>
        <v>new_page</v>
      </c>
      <c r="E625" s="1">
        <f>IFERROR(__xludf.DUMMYFUNCTION("""COMPUTED_VALUE"""),0.0)</f>
        <v>0</v>
      </c>
    </row>
    <row r="626">
      <c r="A626" s="1">
        <f>IFERROR(__xludf.DUMMYFUNCTION("""COMPUTED_VALUE"""),829342.0)</f>
        <v>829342</v>
      </c>
      <c r="B626" s="2">
        <f>IFERROR(__xludf.DUMMYFUNCTION("""COMPUTED_VALUE"""),42754.481220467904)</f>
        <v>42754.48122</v>
      </c>
      <c r="C626" s="1" t="str">
        <f>IFERROR(__xludf.DUMMYFUNCTION("""COMPUTED_VALUE"""),"treatment")</f>
        <v>treatment</v>
      </c>
      <c r="D626" s="1" t="str">
        <f>IFERROR(__xludf.DUMMYFUNCTION("""COMPUTED_VALUE"""),"new_page")</f>
        <v>new_page</v>
      </c>
      <c r="E626" s="1">
        <f>IFERROR(__xludf.DUMMYFUNCTION("""COMPUTED_VALUE"""),0.0)</f>
        <v>0</v>
      </c>
    </row>
    <row r="627">
      <c r="A627" s="1">
        <f>IFERROR(__xludf.DUMMYFUNCTION("""COMPUTED_VALUE"""),657143.0)</f>
        <v>657143</v>
      </c>
      <c r="B627" s="2">
        <f>IFERROR(__xludf.DUMMYFUNCTION("""COMPUTED_VALUE"""),42758.90639473661)</f>
        <v>42758.90639</v>
      </c>
      <c r="C627" s="1" t="str">
        <f>IFERROR(__xludf.DUMMYFUNCTION("""COMPUTED_VALUE"""),"treatment")</f>
        <v>treatment</v>
      </c>
      <c r="D627" s="1" t="str">
        <f>IFERROR(__xludf.DUMMYFUNCTION("""COMPUTED_VALUE"""),"new_page")</f>
        <v>new_page</v>
      </c>
      <c r="E627" s="1">
        <f>IFERROR(__xludf.DUMMYFUNCTION("""COMPUTED_VALUE"""),0.0)</f>
        <v>0</v>
      </c>
    </row>
    <row r="628">
      <c r="A628" s="1">
        <f>IFERROR(__xludf.DUMMYFUNCTION("""COMPUTED_VALUE"""),663114.0)</f>
        <v>663114</v>
      </c>
      <c r="B628" s="2">
        <f>IFERROR(__xludf.DUMMYFUNCTION("""COMPUTED_VALUE"""),42754.77134935993)</f>
        <v>42754.77135</v>
      </c>
      <c r="C628" s="1" t="str">
        <f>IFERROR(__xludf.DUMMYFUNCTION("""COMPUTED_VALUE"""),"treatment")</f>
        <v>treatment</v>
      </c>
      <c r="D628" s="1" t="str">
        <f>IFERROR(__xludf.DUMMYFUNCTION("""COMPUTED_VALUE"""),"new_page")</f>
        <v>new_page</v>
      </c>
      <c r="E628" s="1">
        <f>IFERROR(__xludf.DUMMYFUNCTION("""COMPUTED_VALUE"""),0.0)</f>
        <v>0</v>
      </c>
    </row>
    <row r="629">
      <c r="A629" s="1">
        <f>IFERROR(__xludf.DUMMYFUNCTION("""COMPUTED_VALUE"""),729555.0)</f>
        <v>729555</v>
      </c>
      <c r="B629" s="2">
        <f>IFERROR(__xludf.DUMMYFUNCTION("""COMPUTED_VALUE"""),42740.681445439244)</f>
        <v>42740.68145</v>
      </c>
      <c r="C629" s="1" t="str">
        <f>IFERROR(__xludf.DUMMYFUNCTION("""COMPUTED_VALUE"""),"treatment")</f>
        <v>treatment</v>
      </c>
      <c r="D629" s="1" t="str">
        <f>IFERROR(__xludf.DUMMYFUNCTION("""COMPUTED_VALUE"""),"new_page")</f>
        <v>new_page</v>
      </c>
      <c r="E629" s="1">
        <f>IFERROR(__xludf.DUMMYFUNCTION("""COMPUTED_VALUE"""),0.0)</f>
        <v>0</v>
      </c>
    </row>
    <row r="630">
      <c r="A630" s="1">
        <f>IFERROR(__xludf.DUMMYFUNCTION("""COMPUTED_VALUE"""),679483.0)</f>
        <v>679483</v>
      </c>
      <c r="B630" s="2">
        <f>IFERROR(__xludf.DUMMYFUNCTION("""COMPUTED_VALUE"""),42737.81747135568)</f>
        <v>42737.81747</v>
      </c>
      <c r="C630" s="1" t="str">
        <f>IFERROR(__xludf.DUMMYFUNCTION("""COMPUTED_VALUE"""),"control")</f>
        <v>control</v>
      </c>
      <c r="D630" s="1" t="str">
        <f>IFERROR(__xludf.DUMMYFUNCTION("""COMPUTED_VALUE"""),"old_page")</f>
        <v>old_page</v>
      </c>
      <c r="E630" s="1">
        <f>IFERROR(__xludf.DUMMYFUNCTION("""COMPUTED_VALUE"""),0.0)</f>
        <v>0</v>
      </c>
    </row>
    <row r="631">
      <c r="A631" s="1">
        <f>IFERROR(__xludf.DUMMYFUNCTION("""COMPUTED_VALUE"""),855754.0)</f>
        <v>855754</v>
      </c>
      <c r="B631" s="2">
        <f>IFERROR(__xludf.DUMMYFUNCTION("""COMPUTED_VALUE"""),42748.64155710588)</f>
        <v>42748.64156</v>
      </c>
      <c r="C631" s="1" t="str">
        <f>IFERROR(__xludf.DUMMYFUNCTION("""COMPUTED_VALUE"""),"treatment")</f>
        <v>treatment</v>
      </c>
      <c r="D631" s="1" t="str">
        <f>IFERROR(__xludf.DUMMYFUNCTION("""COMPUTED_VALUE"""),"new_page")</f>
        <v>new_page</v>
      </c>
      <c r="E631" s="1">
        <f>IFERROR(__xludf.DUMMYFUNCTION("""COMPUTED_VALUE"""),0.0)</f>
        <v>0</v>
      </c>
    </row>
    <row r="632">
      <c r="A632" s="1">
        <f>IFERROR(__xludf.DUMMYFUNCTION("""COMPUTED_VALUE"""),757742.0)</f>
        <v>757742</v>
      </c>
      <c r="B632" s="2">
        <f>IFERROR(__xludf.DUMMYFUNCTION("""COMPUTED_VALUE"""),42744.07447030066)</f>
        <v>42744.07447</v>
      </c>
      <c r="C632" s="1" t="str">
        <f>IFERROR(__xludf.DUMMYFUNCTION("""COMPUTED_VALUE"""),"control")</f>
        <v>control</v>
      </c>
      <c r="D632" s="1" t="str">
        <f>IFERROR(__xludf.DUMMYFUNCTION("""COMPUTED_VALUE"""),"old_page")</f>
        <v>old_page</v>
      </c>
      <c r="E632" s="1">
        <f>IFERROR(__xludf.DUMMYFUNCTION("""COMPUTED_VALUE"""),0.0)</f>
        <v>0</v>
      </c>
    </row>
    <row r="633">
      <c r="A633" s="1">
        <f>IFERROR(__xludf.DUMMYFUNCTION("""COMPUTED_VALUE"""),798361.0)</f>
        <v>798361</v>
      </c>
      <c r="B633" s="2">
        <f>IFERROR(__xludf.DUMMYFUNCTION("""COMPUTED_VALUE"""),42747.6823973483)</f>
        <v>42747.6824</v>
      </c>
      <c r="C633" s="1" t="str">
        <f>IFERROR(__xludf.DUMMYFUNCTION("""COMPUTED_VALUE"""),"control")</f>
        <v>control</v>
      </c>
      <c r="D633" s="1" t="str">
        <f>IFERROR(__xludf.DUMMYFUNCTION("""COMPUTED_VALUE"""),"old_page")</f>
        <v>old_page</v>
      </c>
      <c r="E633" s="1">
        <f>IFERROR(__xludf.DUMMYFUNCTION("""COMPUTED_VALUE"""),0.0)</f>
        <v>0</v>
      </c>
    </row>
    <row r="634">
      <c r="A634" s="1">
        <f>IFERROR(__xludf.DUMMYFUNCTION("""COMPUTED_VALUE"""),839715.0)</f>
        <v>839715</v>
      </c>
      <c r="B634" s="2">
        <f>IFERROR(__xludf.DUMMYFUNCTION("""COMPUTED_VALUE"""),42748.372215221214)</f>
        <v>42748.37222</v>
      </c>
      <c r="C634" s="1" t="str">
        <f>IFERROR(__xludf.DUMMYFUNCTION("""COMPUTED_VALUE"""),"control")</f>
        <v>control</v>
      </c>
      <c r="D634" s="1" t="str">
        <f>IFERROR(__xludf.DUMMYFUNCTION("""COMPUTED_VALUE"""),"old_page")</f>
        <v>old_page</v>
      </c>
      <c r="E634" s="1">
        <f>IFERROR(__xludf.DUMMYFUNCTION("""COMPUTED_VALUE"""),0.0)</f>
        <v>0</v>
      </c>
    </row>
    <row r="635">
      <c r="A635" s="1">
        <f>IFERROR(__xludf.DUMMYFUNCTION("""COMPUTED_VALUE"""),881312.0)</f>
        <v>881312</v>
      </c>
      <c r="B635" s="2">
        <f>IFERROR(__xludf.DUMMYFUNCTION("""COMPUTED_VALUE"""),42742.40221374963)</f>
        <v>42742.40221</v>
      </c>
      <c r="C635" s="1" t="str">
        <f>IFERROR(__xludf.DUMMYFUNCTION("""COMPUTED_VALUE"""),"control")</f>
        <v>control</v>
      </c>
      <c r="D635" s="1" t="str">
        <f>IFERROR(__xludf.DUMMYFUNCTION("""COMPUTED_VALUE"""),"old_page")</f>
        <v>old_page</v>
      </c>
      <c r="E635" s="1">
        <f>IFERROR(__xludf.DUMMYFUNCTION("""COMPUTED_VALUE"""),0.0)</f>
        <v>0</v>
      </c>
    </row>
    <row r="636">
      <c r="A636" s="1">
        <f>IFERROR(__xludf.DUMMYFUNCTION("""COMPUTED_VALUE"""),743342.0)</f>
        <v>743342</v>
      </c>
      <c r="B636" s="2">
        <f>IFERROR(__xludf.DUMMYFUNCTION("""COMPUTED_VALUE"""),42743.62043463)</f>
        <v>42743.62043</v>
      </c>
      <c r="C636" s="1" t="str">
        <f>IFERROR(__xludf.DUMMYFUNCTION("""COMPUTED_VALUE"""),"treatment")</f>
        <v>treatment</v>
      </c>
      <c r="D636" s="1" t="str">
        <f>IFERROR(__xludf.DUMMYFUNCTION("""COMPUTED_VALUE"""),"new_page")</f>
        <v>new_page</v>
      </c>
      <c r="E636" s="1">
        <f>IFERROR(__xludf.DUMMYFUNCTION("""COMPUTED_VALUE"""),0.0)</f>
        <v>0</v>
      </c>
    </row>
    <row r="637">
      <c r="A637" s="1">
        <f>IFERROR(__xludf.DUMMYFUNCTION("""COMPUTED_VALUE"""),730854.0)</f>
        <v>730854</v>
      </c>
      <c r="B637" s="2">
        <f>IFERROR(__xludf.DUMMYFUNCTION("""COMPUTED_VALUE"""),42738.65523637347)</f>
        <v>42738.65524</v>
      </c>
      <c r="C637" s="1" t="str">
        <f>IFERROR(__xludf.DUMMYFUNCTION("""COMPUTED_VALUE"""),"control")</f>
        <v>control</v>
      </c>
      <c r="D637" s="1" t="str">
        <f>IFERROR(__xludf.DUMMYFUNCTION("""COMPUTED_VALUE"""),"old_page")</f>
        <v>old_page</v>
      </c>
      <c r="E637" s="1">
        <f>IFERROR(__xludf.DUMMYFUNCTION("""COMPUTED_VALUE"""),0.0)</f>
        <v>0</v>
      </c>
    </row>
    <row r="638">
      <c r="A638" s="1">
        <f>IFERROR(__xludf.DUMMYFUNCTION("""COMPUTED_VALUE"""),761377.0)</f>
        <v>761377</v>
      </c>
      <c r="B638" s="2">
        <f>IFERROR(__xludf.DUMMYFUNCTION("""COMPUTED_VALUE"""),42756.60786799876)</f>
        <v>42756.60787</v>
      </c>
      <c r="C638" s="1" t="str">
        <f>IFERROR(__xludf.DUMMYFUNCTION("""COMPUTED_VALUE"""),"treatment")</f>
        <v>treatment</v>
      </c>
      <c r="D638" s="1" t="str">
        <f>IFERROR(__xludf.DUMMYFUNCTION("""COMPUTED_VALUE"""),"new_page")</f>
        <v>new_page</v>
      </c>
      <c r="E638" s="1">
        <f>IFERROR(__xludf.DUMMYFUNCTION("""COMPUTED_VALUE"""),0.0)</f>
        <v>0</v>
      </c>
    </row>
    <row r="639">
      <c r="A639" s="1">
        <f>IFERROR(__xludf.DUMMYFUNCTION("""COMPUTED_VALUE"""),669634.0)</f>
        <v>669634</v>
      </c>
      <c r="B639" s="2">
        <f>IFERROR(__xludf.DUMMYFUNCTION("""COMPUTED_VALUE"""),42756.9470860186)</f>
        <v>42756.94709</v>
      </c>
      <c r="C639" s="1" t="str">
        <f>IFERROR(__xludf.DUMMYFUNCTION("""COMPUTED_VALUE"""),"treatment")</f>
        <v>treatment</v>
      </c>
      <c r="D639" s="1" t="str">
        <f>IFERROR(__xludf.DUMMYFUNCTION("""COMPUTED_VALUE"""),"new_page")</f>
        <v>new_page</v>
      </c>
      <c r="E639" s="1">
        <f>IFERROR(__xludf.DUMMYFUNCTION("""COMPUTED_VALUE"""),0.0)</f>
        <v>0</v>
      </c>
    </row>
    <row r="640">
      <c r="A640" s="1">
        <f>IFERROR(__xludf.DUMMYFUNCTION("""COMPUTED_VALUE"""),634985.0)</f>
        <v>634985</v>
      </c>
      <c r="B640" s="2">
        <f>IFERROR(__xludf.DUMMYFUNCTION("""COMPUTED_VALUE"""),42740.861285912026)</f>
        <v>42740.86129</v>
      </c>
      <c r="C640" s="1" t="str">
        <f>IFERROR(__xludf.DUMMYFUNCTION("""COMPUTED_VALUE"""),"control")</f>
        <v>control</v>
      </c>
      <c r="D640" s="1" t="str">
        <f>IFERROR(__xludf.DUMMYFUNCTION("""COMPUTED_VALUE"""),"old_page")</f>
        <v>old_page</v>
      </c>
      <c r="E640" s="1">
        <f>IFERROR(__xludf.DUMMYFUNCTION("""COMPUTED_VALUE"""),0.0)</f>
        <v>0</v>
      </c>
    </row>
    <row r="641">
      <c r="A641" s="1">
        <f>IFERROR(__xludf.DUMMYFUNCTION("""COMPUTED_VALUE"""),839364.0)</f>
        <v>839364</v>
      </c>
      <c r="B641" s="2">
        <f>IFERROR(__xludf.DUMMYFUNCTION("""COMPUTED_VALUE"""),42748.881577043045)</f>
        <v>42748.88158</v>
      </c>
      <c r="C641" s="1" t="str">
        <f>IFERROR(__xludf.DUMMYFUNCTION("""COMPUTED_VALUE"""),"treatment")</f>
        <v>treatment</v>
      </c>
      <c r="D641" s="1" t="str">
        <f>IFERROR(__xludf.DUMMYFUNCTION("""COMPUTED_VALUE"""),"new_page")</f>
        <v>new_page</v>
      </c>
      <c r="E641" s="1">
        <f>IFERROR(__xludf.DUMMYFUNCTION("""COMPUTED_VALUE"""),1.0)</f>
        <v>1</v>
      </c>
    </row>
    <row r="642">
      <c r="A642" s="1">
        <f>IFERROR(__xludf.DUMMYFUNCTION("""COMPUTED_VALUE"""),806008.0)</f>
        <v>806008</v>
      </c>
      <c r="B642" s="2">
        <f>IFERROR(__xludf.DUMMYFUNCTION("""COMPUTED_VALUE"""),42752.05815397997)</f>
        <v>42752.05815</v>
      </c>
      <c r="C642" s="1" t="str">
        <f>IFERROR(__xludf.DUMMYFUNCTION("""COMPUTED_VALUE"""),"treatment")</f>
        <v>treatment</v>
      </c>
      <c r="D642" s="1" t="str">
        <f>IFERROR(__xludf.DUMMYFUNCTION("""COMPUTED_VALUE"""),"new_page")</f>
        <v>new_page</v>
      </c>
      <c r="E642" s="1">
        <f>IFERROR(__xludf.DUMMYFUNCTION("""COMPUTED_VALUE"""),0.0)</f>
        <v>0</v>
      </c>
    </row>
    <row r="643">
      <c r="A643" s="1">
        <f>IFERROR(__xludf.DUMMYFUNCTION("""COMPUTED_VALUE"""),846132.0)</f>
        <v>846132</v>
      </c>
      <c r="B643" s="2">
        <f>IFERROR(__xludf.DUMMYFUNCTION("""COMPUTED_VALUE"""),42755.761429662554)</f>
        <v>42755.76143</v>
      </c>
      <c r="C643" s="1" t="str">
        <f>IFERROR(__xludf.DUMMYFUNCTION("""COMPUTED_VALUE"""),"control")</f>
        <v>control</v>
      </c>
      <c r="D643" s="1" t="str">
        <f>IFERROR(__xludf.DUMMYFUNCTION("""COMPUTED_VALUE"""),"old_page")</f>
        <v>old_page</v>
      </c>
      <c r="E643" s="1">
        <f>IFERROR(__xludf.DUMMYFUNCTION("""COMPUTED_VALUE"""),0.0)</f>
        <v>0</v>
      </c>
    </row>
    <row r="644">
      <c r="A644" s="1">
        <f>IFERROR(__xludf.DUMMYFUNCTION("""COMPUTED_VALUE"""),817575.0)</f>
        <v>817575</v>
      </c>
      <c r="B644" s="2">
        <f>IFERROR(__xludf.DUMMYFUNCTION("""COMPUTED_VALUE"""),42739.567268739156)</f>
        <v>42739.56727</v>
      </c>
      <c r="C644" s="1" t="str">
        <f>IFERROR(__xludf.DUMMYFUNCTION("""COMPUTED_VALUE"""),"treatment")</f>
        <v>treatment</v>
      </c>
      <c r="D644" s="1" t="str">
        <f>IFERROR(__xludf.DUMMYFUNCTION("""COMPUTED_VALUE"""),"new_page")</f>
        <v>new_page</v>
      </c>
      <c r="E644" s="1">
        <f>IFERROR(__xludf.DUMMYFUNCTION("""COMPUTED_VALUE"""),1.0)</f>
        <v>1</v>
      </c>
    </row>
    <row r="645">
      <c r="A645" s="1">
        <f>IFERROR(__xludf.DUMMYFUNCTION("""COMPUTED_VALUE"""),737011.0)</f>
        <v>737011</v>
      </c>
      <c r="B645" s="2">
        <f>IFERROR(__xludf.DUMMYFUNCTION("""COMPUTED_VALUE"""),42752.446976043146)</f>
        <v>42752.44698</v>
      </c>
      <c r="C645" s="1" t="str">
        <f>IFERROR(__xludf.DUMMYFUNCTION("""COMPUTED_VALUE"""),"treatment")</f>
        <v>treatment</v>
      </c>
      <c r="D645" s="1" t="str">
        <f>IFERROR(__xludf.DUMMYFUNCTION("""COMPUTED_VALUE"""),"new_page")</f>
        <v>new_page</v>
      </c>
      <c r="E645" s="1">
        <f>IFERROR(__xludf.DUMMYFUNCTION("""COMPUTED_VALUE"""),0.0)</f>
        <v>0</v>
      </c>
    </row>
    <row r="646">
      <c r="A646" s="1">
        <f>IFERROR(__xludf.DUMMYFUNCTION("""COMPUTED_VALUE"""),898889.0)</f>
        <v>898889</v>
      </c>
      <c r="B646" s="2">
        <f>IFERROR(__xludf.DUMMYFUNCTION("""COMPUTED_VALUE"""),42752.73628826675)</f>
        <v>42752.73629</v>
      </c>
      <c r="C646" s="1" t="str">
        <f>IFERROR(__xludf.DUMMYFUNCTION("""COMPUTED_VALUE"""),"control")</f>
        <v>control</v>
      </c>
      <c r="D646" s="1" t="str">
        <f>IFERROR(__xludf.DUMMYFUNCTION("""COMPUTED_VALUE"""),"old_page")</f>
        <v>old_page</v>
      </c>
      <c r="E646" s="1">
        <f>IFERROR(__xludf.DUMMYFUNCTION("""COMPUTED_VALUE"""),0.0)</f>
        <v>0</v>
      </c>
    </row>
    <row r="647">
      <c r="A647" s="1">
        <f>IFERROR(__xludf.DUMMYFUNCTION("""COMPUTED_VALUE"""),762827.0)</f>
        <v>762827</v>
      </c>
      <c r="B647" s="2">
        <f>IFERROR(__xludf.DUMMYFUNCTION("""COMPUTED_VALUE"""),42755.190629991346)</f>
        <v>42755.19063</v>
      </c>
      <c r="C647" s="1" t="str">
        <f>IFERROR(__xludf.DUMMYFUNCTION("""COMPUTED_VALUE"""),"treatment")</f>
        <v>treatment</v>
      </c>
      <c r="D647" s="1" t="str">
        <f>IFERROR(__xludf.DUMMYFUNCTION("""COMPUTED_VALUE"""),"new_page")</f>
        <v>new_page</v>
      </c>
      <c r="E647" s="1">
        <f>IFERROR(__xludf.DUMMYFUNCTION("""COMPUTED_VALUE"""),1.0)</f>
        <v>1</v>
      </c>
    </row>
    <row r="648">
      <c r="A648" s="1">
        <f>IFERROR(__xludf.DUMMYFUNCTION("""COMPUTED_VALUE"""),690170.0)</f>
        <v>690170</v>
      </c>
      <c r="B648" s="2">
        <f>IFERROR(__xludf.DUMMYFUNCTION("""COMPUTED_VALUE"""),42739.18628748603)</f>
        <v>42739.18629</v>
      </c>
      <c r="C648" s="1" t="str">
        <f>IFERROR(__xludf.DUMMYFUNCTION("""COMPUTED_VALUE"""),"treatment")</f>
        <v>treatment</v>
      </c>
      <c r="D648" s="1" t="str">
        <f>IFERROR(__xludf.DUMMYFUNCTION("""COMPUTED_VALUE"""),"new_page")</f>
        <v>new_page</v>
      </c>
      <c r="E648" s="1">
        <f>IFERROR(__xludf.DUMMYFUNCTION("""COMPUTED_VALUE"""),1.0)</f>
        <v>1</v>
      </c>
    </row>
    <row r="649">
      <c r="A649" s="1">
        <f>IFERROR(__xludf.DUMMYFUNCTION("""COMPUTED_VALUE"""),769655.0)</f>
        <v>769655</v>
      </c>
      <c r="B649" s="2">
        <f>IFERROR(__xludf.DUMMYFUNCTION("""COMPUTED_VALUE"""),42742.721566532244)</f>
        <v>42742.72157</v>
      </c>
      <c r="C649" s="1" t="str">
        <f>IFERROR(__xludf.DUMMYFUNCTION("""COMPUTED_VALUE"""),"treatment")</f>
        <v>treatment</v>
      </c>
      <c r="D649" s="1" t="str">
        <f>IFERROR(__xludf.DUMMYFUNCTION("""COMPUTED_VALUE"""),"new_page")</f>
        <v>new_page</v>
      </c>
      <c r="E649" s="1">
        <f>IFERROR(__xludf.DUMMYFUNCTION("""COMPUTED_VALUE"""),0.0)</f>
        <v>0</v>
      </c>
    </row>
    <row r="650">
      <c r="A650" s="1">
        <f>IFERROR(__xludf.DUMMYFUNCTION("""COMPUTED_VALUE"""),748283.0)</f>
        <v>748283</v>
      </c>
      <c r="B650" s="2">
        <f>IFERROR(__xludf.DUMMYFUNCTION("""COMPUTED_VALUE"""),42749.24970794597)</f>
        <v>42749.24971</v>
      </c>
      <c r="C650" s="1" t="str">
        <f>IFERROR(__xludf.DUMMYFUNCTION("""COMPUTED_VALUE"""),"treatment")</f>
        <v>treatment</v>
      </c>
      <c r="D650" s="1" t="str">
        <f>IFERROR(__xludf.DUMMYFUNCTION("""COMPUTED_VALUE"""),"new_page")</f>
        <v>new_page</v>
      </c>
      <c r="E650" s="1">
        <f>IFERROR(__xludf.DUMMYFUNCTION("""COMPUTED_VALUE"""),0.0)</f>
        <v>0</v>
      </c>
    </row>
    <row r="651">
      <c r="A651" s="1">
        <f>IFERROR(__xludf.DUMMYFUNCTION("""COMPUTED_VALUE"""),829267.0)</f>
        <v>829267</v>
      </c>
      <c r="B651" s="2">
        <f>IFERROR(__xludf.DUMMYFUNCTION("""COMPUTED_VALUE"""),42754.830833122214)</f>
        <v>42754.83083</v>
      </c>
      <c r="C651" s="1" t="str">
        <f>IFERROR(__xludf.DUMMYFUNCTION("""COMPUTED_VALUE"""),"control")</f>
        <v>control</v>
      </c>
      <c r="D651" s="1" t="str">
        <f>IFERROR(__xludf.DUMMYFUNCTION("""COMPUTED_VALUE"""),"old_page")</f>
        <v>old_page</v>
      </c>
      <c r="E651" s="1">
        <f>IFERROR(__xludf.DUMMYFUNCTION("""COMPUTED_VALUE"""),0.0)</f>
        <v>0</v>
      </c>
    </row>
    <row r="652">
      <c r="A652" s="1">
        <f>IFERROR(__xludf.DUMMYFUNCTION("""COMPUTED_VALUE"""),822743.0)</f>
        <v>822743</v>
      </c>
      <c r="B652" s="2">
        <f>IFERROR(__xludf.DUMMYFUNCTION("""COMPUTED_VALUE"""),42738.14372639082)</f>
        <v>42738.14373</v>
      </c>
      <c r="C652" s="1" t="str">
        <f>IFERROR(__xludf.DUMMYFUNCTION("""COMPUTED_VALUE"""),"treatment")</f>
        <v>treatment</v>
      </c>
      <c r="D652" s="1" t="str">
        <f>IFERROR(__xludf.DUMMYFUNCTION("""COMPUTED_VALUE"""),"new_page")</f>
        <v>new_page</v>
      </c>
      <c r="E652" s="1">
        <f>IFERROR(__xludf.DUMMYFUNCTION("""COMPUTED_VALUE"""),0.0)</f>
        <v>0</v>
      </c>
    </row>
    <row r="653">
      <c r="A653" s="1">
        <f>IFERROR(__xludf.DUMMYFUNCTION("""COMPUTED_VALUE"""),847020.0)</f>
        <v>847020</v>
      </c>
      <c r="B653" s="2">
        <f>IFERROR(__xludf.DUMMYFUNCTION("""COMPUTED_VALUE"""),42756.71507652619)</f>
        <v>42756.71508</v>
      </c>
      <c r="C653" s="1" t="str">
        <f>IFERROR(__xludf.DUMMYFUNCTION("""COMPUTED_VALUE"""),"treatment")</f>
        <v>treatment</v>
      </c>
      <c r="D653" s="1" t="str">
        <f>IFERROR(__xludf.DUMMYFUNCTION("""COMPUTED_VALUE"""),"new_page")</f>
        <v>new_page</v>
      </c>
      <c r="E653" s="1">
        <f>IFERROR(__xludf.DUMMYFUNCTION("""COMPUTED_VALUE"""),1.0)</f>
        <v>1</v>
      </c>
    </row>
    <row r="654">
      <c r="A654" s="1">
        <f>IFERROR(__xludf.DUMMYFUNCTION("""COMPUTED_VALUE"""),648008.0)</f>
        <v>648008</v>
      </c>
      <c r="B654" s="2">
        <f>IFERROR(__xludf.DUMMYFUNCTION("""COMPUTED_VALUE"""),42749.15813281934)</f>
        <v>42749.15813</v>
      </c>
      <c r="C654" s="1" t="str">
        <f>IFERROR(__xludf.DUMMYFUNCTION("""COMPUTED_VALUE"""),"control")</f>
        <v>control</v>
      </c>
      <c r="D654" s="1" t="str">
        <f>IFERROR(__xludf.DUMMYFUNCTION("""COMPUTED_VALUE"""),"old_page")</f>
        <v>old_page</v>
      </c>
      <c r="E654" s="1">
        <f>IFERROR(__xludf.DUMMYFUNCTION("""COMPUTED_VALUE"""),1.0)</f>
        <v>1</v>
      </c>
    </row>
    <row r="655">
      <c r="A655" s="1">
        <f>IFERROR(__xludf.DUMMYFUNCTION("""COMPUTED_VALUE"""),753391.0)</f>
        <v>753391</v>
      </c>
      <c r="B655" s="2">
        <f>IFERROR(__xludf.DUMMYFUNCTION("""COMPUTED_VALUE"""),42759.550060171576)</f>
        <v>42759.55006</v>
      </c>
      <c r="C655" s="1" t="str">
        <f>IFERROR(__xludf.DUMMYFUNCTION("""COMPUTED_VALUE"""),"treatment")</f>
        <v>treatment</v>
      </c>
      <c r="D655" s="1" t="str">
        <f>IFERROR(__xludf.DUMMYFUNCTION("""COMPUTED_VALUE"""),"new_page")</f>
        <v>new_page</v>
      </c>
      <c r="E655" s="1">
        <f>IFERROR(__xludf.DUMMYFUNCTION("""COMPUTED_VALUE"""),0.0)</f>
        <v>0</v>
      </c>
    </row>
    <row r="656">
      <c r="A656" s="1">
        <f>IFERROR(__xludf.DUMMYFUNCTION("""COMPUTED_VALUE"""),823319.0)</f>
        <v>823319</v>
      </c>
      <c r="B656" s="2">
        <f>IFERROR(__xludf.DUMMYFUNCTION("""COMPUTED_VALUE"""),42755.376688109754)</f>
        <v>42755.37669</v>
      </c>
      <c r="C656" s="1" t="str">
        <f>IFERROR(__xludf.DUMMYFUNCTION("""COMPUTED_VALUE"""),"treatment")</f>
        <v>treatment</v>
      </c>
      <c r="D656" s="1" t="str">
        <f>IFERROR(__xludf.DUMMYFUNCTION("""COMPUTED_VALUE"""),"new_page")</f>
        <v>new_page</v>
      </c>
      <c r="E656" s="1">
        <f>IFERROR(__xludf.DUMMYFUNCTION("""COMPUTED_VALUE"""),0.0)</f>
        <v>0</v>
      </c>
    </row>
    <row r="657">
      <c r="A657" s="1">
        <f>IFERROR(__xludf.DUMMYFUNCTION("""COMPUTED_VALUE"""),726766.0)</f>
        <v>726766</v>
      </c>
      <c r="B657" s="2">
        <f>IFERROR(__xludf.DUMMYFUNCTION("""COMPUTED_VALUE"""),42751.45895731917)</f>
        <v>42751.45896</v>
      </c>
      <c r="C657" s="1" t="str">
        <f>IFERROR(__xludf.DUMMYFUNCTION("""COMPUTED_VALUE"""),"treatment")</f>
        <v>treatment</v>
      </c>
      <c r="D657" s="1" t="str">
        <f>IFERROR(__xludf.DUMMYFUNCTION("""COMPUTED_VALUE"""),"new_page")</f>
        <v>new_page</v>
      </c>
      <c r="E657" s="1">
        <f>IFERROR(__xludf.DUMMYFUNCTION("""COMPUTED_VALUE"""),0.0)</f>
        <v>0</v>
      </c>
    </row>
    <row r="658">
      <c r="A658" s="1">
        <f>IFERROR(__xludf.DUMMYFUNCTION("""COMPUTED_VALUE"""),834751.0)</f>
        <v>834751</v>
      </c>
      <c r="B658" s="2">
        <f>IFERROR(__xludf.DUMMYFUNCTION("""COMPUTED_VALUE"""),42747.615196873565)</f>
        <v>42747.6152</v>
      </c>
      <c r="C658" s="1" t="str">
        <f>IFERROR(__xludf.DUMMYFUNCTION("""COMPUTED_VALUE"""),"treatment")</f>
        <v>treatment</v>
      </c>
      <c r="D658" s="1" t="str">
        <f>IFERROR(__xludf.DUMMYFUNCTION("""COMPUTED_VALUE"""),"new_page")</f>
        <v>new_page</v>
      </c>
      <c r="E658" s="1">
        <f>IFERROR(__xludf.DUMMYFUNCTION("""COMPUTED_VALUE"""),0.0)</f>
        <v>0</v>
      </c>
    </row>
    <row r="659">
      <c r="A659" s="1">
        <f>IFERROR(__xludf.DUMMYFUNCTION("""COMPUTED_VALUE"""),841133.0)</f>
        <v>841133</v>
      </c>
      <c r="B659" s="2">
        <f>IFERROR(__xludf.DUMMYFUNCTION("""COMPUTED_VALUE"""),42754.395377289424)</f>
        <v>42754.39538</v>
      </c>
      <c r="C659" s="1" t="str">
        <f>IFERROR(__xludf.DUMMYFUNCTION("""COMPUTED_VALUE"""),"treatment")</f>
        <v>treatment</v>
      </c>
      <c r="D659" s="1" t="str">
        <f>IFERROR(__xludf.DUMMYFUNCTION("""COMPUTED_VALUE"""),"new_page")</f>
        <v>new_page</v>
      </c>
      <c r="E659" s="1">
        <f>IFERROR(__xludf.DUMMYFUNCTION("""COMPUTED_VALUE"""),0.0)</f>
        <v>0</v>
      </c>
    </row>
    <row r="660">
      <c r="A660" s="1">
        <f>IFERROR(__xludf.DUMMYFUNCTION("""COMPUTED_VALUE"""),824129.0)</f>
        <v>824129</v>
      </c>
      <c r="B660" s="2">
        <f>IFERROR(__xludf.DUMMYFUNCTION("""COMPUTED_VALUE"""),42748.10422257405)</f>
        <v>42748.10422</v>
      </c>
      <c r="C660" s="1" t="str">
        <f>IFERROR(__xludf.DUMMYFUNCTION("""COMPUTED_VALUE"""),"treatment")</f>
        <v>treatment</v>
      </c>
      <c r="D660" s="1" t="str">
        <f>IFERROR(__xludf.DUMMYFUNCTION("""COMPUTED_VALUE"""),"new_page")</f>
        <v>new_page</v>
      </c>
      <c r="E660" s="1">
        <f>IFERROR(__xludf.DUMMYFUNCTION("""COMPUTED_VALUE"""),0.0)</f>
        <v>0</v>
      </c>
    </row>
    <row r="661">
      <c r="A661" s="1">
        <f>IFERROR(__xludf.DUMMYFUNCTION("""COMPUTED_VALUE"""),735253.0)</f>
        <v>735253</v>
      </c>
      <c r="B661" s="2">
        <f>IFERROR(__xludf.DUMMYFUNCTION("""COMPUTED_VALUE"""),42754.12561833198)</f>
        <v>42754.12562</v>
      </c>
      <c r="C661" s="1" t="str">
        <f>IFERROR(__xludf.DUMMYFUNCTION("""COMPUTED_VALUE"""),"treatment")</f>
        <v>treatment</v>
      </c>
      <c r="D661" s="1" t="str">
        <f>IFERROR(__xludf.DUMMYFUNCTION("""COMPUTED_VALUE"""),"new_page")</f>
        <v>new_page</v>
      </c>
      <c r="E661" s="1">
        <f>IFERROR(__xludf.DUMMYFUNCTION("""COMPUTED_VALUE"""),0.0)</f>
        <v>0</v>
      </c>
    </row>
    <row r="662">
      <c r="A662" s="1">
        <f>IFERROR(__xludf.DUMMYFUNCTION("""COMPUTED_VALUE"""),864475.0)</f>
        <v>864475</v>
      </c>
      <c r="B662" s="2">
        <f>IFERROR(__xludf.DUMMYFUNCTION("""COMPUTED_VALUE"""),42757.01575790243)</f>
        <v>42757.01576</v>
      </c>
      <c r="C662" s="1" t="str">
        <f>IFERROR(__xludf.DUMMYFUNCTION("""COMPUTED_VALUE"""),"treatment")</f>
        <v>treatment</v>
      </c>
      <c r="D662" s="1" t="str">
        <f>IFERROR(__xludf.DUMMYFUNCTION("""COMPUTED_VALUE"""),"new_page")</f>
        <v>new_page</v>
      </c>
      <c r="E662" s="1">
        <f>IFERROR(__xludf.DUMMYFUNCTION("""COMPUTED_VALUE"""),0.0)</f>
        <v>0</v>
      </c>
    </row>
    <row r="663">
      <c r="A663" s="1">
        <f>IFERROR(__xludf.DUMMYFUNCTION("""COMPUTED_VALUE"""),895583.0)</f>
        <v>895583</v>
      </c>
      <c r="B663" s="2">
        <f>IFERROR(__xludf.DUMMYFUNCTION("""COMPUTED_VALUE"""),42758.0964998796)</f>
        <v>42758.0965</v>
      </c>
      <c r="C663" s="1" t="str">
        <f>IFERROR(__xludf.DUMMYFUNCTION("""COMPUTED_VALUE"""),"treatment")</f>
        <v>treatment</v>
      </c>
      <c r="D663" s="1" t="str">
        <f>IFERROR(__xludf.DUMMYFUNCTION("""COMPUTED_VALUE"""),"new_page")</f>
        <v>new_page</v>
      </c>
      <c r="E663" s="1">
        <f>IFERROR(__xludf.DUMMYFUNCTION("""COMPUTED_VALUE"""),1.0)</f>
        <v>1</v>
      </c>
    </row>
    <row r="664">
      <c r="A664" s="1">
        <f>IFERROR(__xludf.DUMMYFUNCTION("""COMPUTED_VALUE"""),674342.0)</f>
        <v>674342</v>
      </c>
      <c r="B664" s="2">
        <f>IFERROR(__xludf.DUMMYFUNCTION("""COMPUTED_VALUE"""),42752.89572043173)</f>
        <v>42752.89572</v>
      </c>
      <c r="C664" s="1" t="str">
        <f>IFERROR(__xludf.DUMMYFUNCTION("""COMPUTED_VALUE"""),"control")</f>
        <v>control</v>
      </c>
      <c r="D664" s="1" t="str">
        <f>IFERROR(__xludf.DUMMYFUNCTION("""COMPUTED_VALUE"""),"old_page")</f>
        <v>old_page</v>
      </c>
      <c r="E664" s="1">
        <f>IFERROR(__xludf.DUMMYFUNCTION("""COMPUTED_VALUE"""),0.0)</f>
        <v>0</v>
      </c>
    </row>
    <row r="665">
      <c r="A665" s="1">
        <f>IFERROR(__xludf.DUMMYFUNCTION("""COMPUTED_VALUE"""),717285.0)</f>
        <v>717285</v>
      </c>
      <c r="B665" s="2">
        <f>IFERROR(__xludf.DUMMYFUNCTION("""COMPUTED_VALUE"""),42749.03138179565)</f>
        <v>42749.03138</v>
      </c>
      <c r="C665" s="1" t="str">
        <f>IFERROR(__xludf.DUMMYFUNCTION("""COMPUTED_VALUE"""),"control")</f>
        <v>control</v>
      </c>
      <c r="D665" s="1" t="str">
        <f>IFERROR(__xludf.DUMMYFUNCTION("""COMPUTED_VALUE"""),"old_page")</f>
        <v>old_page</v>
      </c>
      <c r="E665" s="1">
        <f>IFERROR(__xludf.DUMMYFUNCTION("""COMPUTED_VALUE"""),0.0)</f>
        <v>0</v>
      </c>
    </row>
    <row r="666">
      <c r="A666" s="1">
        <f>IFERROR(__xludf.DUMMYFUNCTION("""COMPUTED_VALUE"""),911270.0)</f>
        <v>911270</v>
      </c>
      <c r="B666" s="2">
        <f>IFERROR(__xludf.DUMMYFUNCTION("""COMPUTED_VALUE"""),42746.33698349514)</f>
        <v>42746.33698</v>
      </c>
      <c r="C666" s="1" t="str">
        <f>IFERROR(__xludf.DUMMYFUNCTION("""COMPUTED_VALUE"""),"control")</f>
        <v>control</v>
      </c>
      <c r="D666" s="1" t="str">
        <f>IFERROR(__xludf.DUMMYFUNCTION("""COMPUTED_VALUE"""),"old_page")</f>
        <v>old_page</v>
      </c>
      <c r="E666" s="1">
        <f>IFERROR(__xludf.DUMMYFUNCTION("""COMPUTED_VALUE"""),0.0)</f>
        <v>0</v>
      </c>
    </row>
    <row r="667">
      <c r="A667" s="1">
        <f>IFERROR(__xludf.DUMMYFUNCTION("""COMPUTED_VALUE"""),905326.0)</f>
        <v>905326</v>
      </c>
      <c r="B667" s="2">
        <f>IFERROR(__xludf.DUMMYFUNCTION("""COMPUTED_VALUE"""),42738.03546680194)</f>
        <v>42738.03547</v>
      </c>
      <c r="C667" s="1" t="str">
        <f>IFERROR(__xludf.DUMMYFUNCTION("""COMPUTED_VALUE"""),"control")</f>
        <v>control</v>
      </c>
      <c r="D667" s="1" t="str">
        <f>IFERROR(__xludf.DUMMYFUNCTION("""COMPUTED_VALUE"""),"old_page")</f>
        <v>old_page</v>
      </c>
      <c r="E667" s="1">
        <f>IFERROR(__xludf.DUMMYFUNCTION("""COMPUTED_VALUE"""),0.0)</f>
        <v>0</v>
      </c>
    </row>
    <row r="668">
      <c r="A668" s="1">
        <f>IFERROR(__xludf.DUMMYFUNCTION("""COMPUTED_VALUE"""),863567.0)</f>
        <v>863567</v>
      </c>
      <c r="B668" s="2">
        <f>IFERROR(__xludf.DUMMYFUNCTION("""COMPUTED_VALUE"""),42744.922652922396)</f>
        <v>42744.92265</v>
      </c>
      <c r="C668" s="1" t="str">
        <f>IFERROR(__xludf.DUMMYFUNCTION("""COMPUTED_VALUE"""),"treatment")</f>
        <v>treatment</v>
      </c>
      <c r="D668" s="1" t="str">
        <f>IFERROR(__xludf.DUMMYFUNCTION("""COMPUTED_VALUE"""),"new_page")</f>
        <v>new_page</v>
      </c>
      <c r="E668" s="1">
        <f>IFERROR(__xludf.DUMMYFUNCTION("""COMPUTED_VALUE"""),0.0)</f>
        <v>0</v>
      </c>
    </row>
    <row r="669">
      <c r="A669" s="1">
        <f>IFERROR(__xludf.DUMMYFUNCTION("""COMPUTED_VALUE"""),889274.0)</f>
        <v>889274</v>
      </c>
      <c r="B669" s="2">
        <f>IFERROR(__xludf.DUMMYFUNCTION("""COMPUTED_VALUE"""),42757.476395171936)</f>
        <v>42757.4764</v>
      </c>
      <c r="C669" s="1" t="str">
        <f>IFERROR(__xludf.DUMMYFUNCTION("""COMPUTED_VALUE"""),"treatment")</f>
        <v>treatment</v>
      </c>
      <c r="D669" s="1" t="str">
        <f>IFERROR(__xludf.DUMMYFUNCTION("""COMPUTED_VALUE"""),"new_page")</f>
        <v>new_page</v>
      </c>
      <c r="E669" s="1">
        <f>IFERROR(__xludf.DUMMYFUNCTION("""COMPUTED_VALUE"""),0.0)</f>
        <v>0</v>
      </c>
    </row>
    <row r="670">
      <c r="A670" s="1">
        <f>IFERROR(__xludf.DUMMYFUNCTION("""COMPUTED_VALUE"""),868282.0)</f>
        <v>868282</v>
      </c>
      <c r="B670" s="2">
        <f>IFERROR(__xludf.DUMMYFUNCTION("""COMPUTED_VALUE"""),42752.27168186323)</f>
        <v>42752.27168</v>
      </c>
      <c r="C670" s="1" t="str">
        <f>IFERROR(__xludf.DUMMYFUNCTION("""COMPUTED_VALUE"""),"treatment")</f>
        <v>treatment</v>
      </c>
      <c r="D670" s="1" t="str">
        <f>IFERROR(__xludf.DUMMYFUNCTION("""COMPUTED_VALUE"""),"new_page")</f>
        <v>new_page</v>
      </c>
      <c r="E670" s="1">
        <f>IFERROR(__xludf.DUMMYFUNCTION("""COMPUTED_VALUE"""),0.0)</f>
        <v>0</v>
      </c>
    </row>
    <row r="671">
      <c r="A671" s="1">
        <f>IFERROR(__xludf.DUMMYFUNCTION("""COMPUTED_VALUE"""),852748.0)</f>
        <v>852748</v>
      </c>
      <c r="B671" s="2">
        <f>IFERROR(__xludf.DUMMYFUNCTION("""COMPUTED_VALUE"""),42751.56166822201)</f>
        <v>42751.56167</v>
      </c>
      <c r="C671" s="1" t="str">
        <f>IFERROR(__xludf.DUMMYFUNCTION("""COMPUTED_VALUE"""),"control")</f>
        <v>control</v>
      </c>
      <c r="D671" s="1" t="str">
        <f>IFERROR(__xludf.DUMMYFUNCTION("""COMPUTED_VALUE"""),"old_page")</f>
        <v>old_page</v>
      </c>
      <c r="E671" s="1">
        <f>IFERROR(__xludf.DUMMYFUNCTION("""COMPUTED_VALUE"""),0.0)</f>
        <v>0</v>
      </c>
    </row>
    <row r="672">
      <c r="A672" s="1">
        <f>IFERROR(__xludf.DUMMYFUNCTION("""COMPUTED_VALUE"""),942833.0)</f>
        <v>942833</v>
      </c>
      <c r="B672" s="2">
        <f>IFERROR(__xludf.DUMMYFUNCTION("""COMPUTED_VALUE"""),42738.64735105543)</f>
        <v>42738.64735</v>
      </c>
      <c r="C672" s="1" t="str">
        <f>IFERROR(__xludf.DUMMYFUNCTION("""COMPUTED_VALUE"""),"treatment")</f>
        <v>treatment</v>
      </c>
      <c r="D672" s="1" t="str">
        <f>IFERROR(__xludf.DUMMYFUNCTION("""COMPUTED_VALUE"""),"new_page")</f>
        <v>new_page</v>
      </c>
      <c r="E672" s="1">
        <f>IFERROR(__xludf.DUMMYFUNCTION("""COMPUTED_VALUE"""),0.0)</f>
        <v>0</v>
      </c>
    </row>
    <row r="673">
      <c r="A673" s="1">
        <f>IFERROR(__xludf.DUMMYFUNCTION("""COMPUTED_VALUE"""),945913.0)</f>
        <v>945913</v>
      </c>
      <c r="B673" s="2">
        <f>IFERROR(__xludf.DUMMYFUNCTION("""COMPUTED_VALUE"""),42739.07462276733)</f>
        <v>42739.07462</v>
      </c>
      <c r="C673" s="1" t="str">
        <f>IFERROR(__xludf.DUMMYFUNCTION("""COMPUTED_VALUE"""),"control")</f>
        <v>control</v>
      </c>
      <c r="D673" s="1" t="str">
        <f>IFERROR(__xludf.DUMMYFUNCTION("""COMPUTED_VALUE"""),"old_page")</f>
        <v>old_page</v>
      </c>
      <c r="E673" s="1">
        <f>IFERROR(__xludf.DUMMYFUNCTION("""COMPUTED_VALUE"""),0.0)</f>
        <v>0</v>
      </c>
    </row>
    <row r="674">
      <c r="A674" s="1">
        <f>IFERROR(__xludf.DUMMYFUNCTION("""COMPUTED_VALUE"""),938605.0)</f>
        <v>938605</v>
      </c>
      <c r="B674" s="2">
        <f>IFERROR(__xludf.DUMMYFUNCTION("""COMPUTED_VALUE"""),42740.2437863019)</f>
        <v>42740.24379</v>
      </c>
      <c r="C674" s="1" t="str">
        <f>IFERROR(__xludf.DUMMYFUNCTION("""COMPUTED_VALUE"""),"control")</f>
        <v>control</v>
      </c>
      <c r="D674" s="1" t="str">
        <f>IFERROR(__xludf.DUMMYFUNCTION("""COMPUTED_VALUE"""),"old_page")</f>
        <v>old_page</v>
      </c>
      <c r="E674" s="1">
        <f>IFERROR(__xludf.DUMMYFUNCTION("""COMPUTED_VALUE"""),0.0)</f>
        <v>0</v>
      </c>
    </row>
    <row r="675">
      <c r="A675" s="1">
        <f>IFERROR(__xludf.DUMMYFUNCTION("""COMPUTED_VALUE"""),681140.0)</f>
        <v>681140</v>
      </c>
      <c r="B675" s="2">
        <f>IFERROR(__xludf.DUMMYFUNCTION("""COMPUTED_VALUE"""),42758.140956352596)</f>
        <v>42758.14096</v>
      </c>
      <c r="C675" s="1" t="str">
        <f>IFERROR(__xludf.DUMMYFUNCTION("""COMPUTED_VALUE"""),"control")</f>
        <v>control</v>
      </c>
      <c r="D675" s="1" t="str">
        <f>IFERROR(__xludf.DUMMYFUNCTION("""COMPUTED_VALUE"""),"old_page")</f>
        <v>old_page</v>
      </c>
      <c r="E675" s="1">
        <f>IFERROR(__xludf.DUMMYFUNCTION("""COMPUTED_VALUE"""),0.0)</f>
        <v>0</v>
      </c>
    </row>
    <row r="676">
      <c r="A676" s="1">
        <f>IFERROR(__xludf.DUMMYFUNCTION("""COMPUTED_VALUE"""),868955.0)</f>
        <v>868955</v>
      </c>
      <c r="B676" s="2">
        <f>IFERROR(__xludf.DUMMYFUNCTION("""COMPUTED_VALUE"""),42746.17096902282)</f>
        <v>42746.17097</v>
      </c>
      <c r="C676" s="1" t="str">
        <f>IFERROR(__xludf.DUMMYFUNCTION("""COMPUTED_VALUE"""),"control")</f>
        <v>control</v>
      </c>
      <c r="D676" s="1" t="str">
        <f>IFERROR(__xludf.DUMMYFUNCTION("""COMPUTED_VALUE"""),"old_page")</f>
        <v>old_page</v>
      </c>
      <c r="E676" s="1">
        <f>IFERROR(__xludf.DUMMYFUNCTION("""COMPUTED_VALUE"""),0.0)</f>
        <v>0</v>
      </c>
    </row>
    <row r="677">
      <c r="A677" s="1">
        <f>IFERROR(__xludf.DUMMYFUNCTION("""COMPUTED_VALUE"""),803379.0)</f>
        <v>803379</v>
      </c>
      <c r="B677" s="2">
        <f>IFERROR(__xludf.DUMMYFUNCTION("""COMPUTED_VALUE"""),42753.27313168149)</f>
        <v>42753.27313</v>
      </c>
      <c r="C677" s="1" t="str">
        <f>IFERROR(__xludf.DUMMYFUNCTION("""COMPUTED_VALUE"""),"treatment")</f>
        <v>treatment</v>
      </c>
      <c r="D677" s="1" t="str">
        <f>IFERROR(__xludf.DUMMYFUNCTION("""COMPUTED_VALUE"""),"new_page")</f>
        <v>new_page</v>
      </c>
      <c r="E677" s="1">
        <f>IFERROR(__xludf.DUMMYFUNCTION("""COMPUTED_VALUE"""),0.0)</f>
        <v>0</v>
      </c>
    </row>
    <row r="678">
      <c r="A678" s="1">
        <f>IFERROR(__xludf.DUMMYFUNCTION("""COMPUTED_VALUE"""),757710.0)</f>
        <v>757710</v>
      </c>
      <c r="B678" s="2">
        <f>IFERROR(__xludf.DUMMYFUNCTION("""COMPUTED_VALUE"""),42758.91378106725)</f>
        <v>42758.91378</v>
      </c>
      <c r="C678" s="1" t="str">
        <f>IFERROR(__xludf.DUMMYFUNCTION("""COMPUTED_VALUE"""),"treatment")</f>
        <v>treatment</v>
      </c>
      <c r="D678" s="1" t="str">
        <f>IFERROR(__xludf.DUMMYFUNCTION("""COMPUTED_VALUE"""),"new_page")</f>
        <v>new_page</v>
      </c>
      <c r="E678" s="1">
        <f>IFERROR(__xludf.DUMMYFUNCTION("""COMPUTED_VALUE"""),0.0)</f>
        <v>0</v>
      </c>
    </row>
    <row r="679">
      <c r="A679" s="1">
        <f>IFERROR(__xludf.DUMMYFUNCTION("""COMPUTED_VALUE"""),795330.0)</f>
        <v>795330</v>
      </c>
      <c r="B679" s="2">
        <f>IFERROR(__xludf.DUMMYFUNCTION("""COMPUTED_VALUE"""),42742.43787433469)</f>
        <v>42742.43787</v>
      </c>
      <c r="C679" s="1" t="str">
        <f>IFERROR(__xludf.DUMMYFUNCTION("""COMPUTED_VALUE"""),"treatment")</f>
        <v>treatment</v>
      </c>
      <c r="D679" s="1" t="str">
        <f>IFERROR(__xludf.DUMMYFUNCTION("""COMPUTED_VALUE"""),"new_page")</f>
        <v>new_page</v>
      </c>
      <c r="E679" s="1">
        <f>IFERROR(__xludf.DUMMYFUNCTION("""COMPUTED_VALUE"""),0.0)</f>
        <v>0</v>
      </c>
    </row>
    <row r="680">
      <c r="A680" s="1">
        <f>IFERROR(__xludf.DUMMYFUNCTION("""COMPUTED_VALUE"""),883673.0)</f>
        <v>883673</v>
      </c>
      <c r="B680" s="2">
        <f>IFERROR(__xludf.DUMMYFUNCTION("""COMPUTED_VALUE"""),42738.19267876173)</f>
        <v>42738.19268</v>
      </c>
      <c r="C680" s="1" t="str">
        <f>IFERROR(__xludf.DUMMYFUNCTION("""COMPUTED_VALUE"""),"treatment")</f>
        <v>treatment</v>
      </c>
      <c r="D680" s="1" t="str">
        <f>IFERROR(__xludf.DUMMYFUNCTION("""COMPUTED_VALUE"""),"new_page")</f>
        <v>new_page</v>
      </c>
      <c r="E680" s="1">
        <f>IFERROR(__xludf.DUMMYFUNCTION("""COMPUTED_VALUE"""),0.0)</f>
        <v>0</v>
      </c>
    </row>
    <row r="681">
      <c r="A681" s="1">
        <f>IFERROR(__xludf.DUMMYFUNCTION("""COMPUTED_VALUE"""),718349.0)</f>
        <v>718349</v>
      </c>
      <c r="B681" s="2">
        <f>IFERROR(__xludf.DUMMYFUNCTION("""COMPUTED_VALUE"""),42742.04680097477)</f>
        <v>42742.0468</v>
      </c>
      <c r="C681" s="1" t="str">
        <f>IFERROR(__xludf.DUMMYFUNCTION("""COMPUTED_VALUE"""),"control")</f>
        <v>control</v>
      </c>
      <c r="D681" s="1" t="str">
        <f>IFERROR(__xludf.DUMMYFUNCTION("""COMPUTED_VALUE"""),"old_page")</f>
        <v>old_page</v>
      </c>
      <c r="E681" s="1">
        <f>IFERROR(__xludf.DUMMYFUNCTION("""COMPUTED_VALUE"""),0.0)</f>
        <v>0</v>
      </c>
    </row>
    <row r="682">
      <c r="A682" s="1">
        <f>IFERROR(__xludf.DUMMYFUNCTION("""COMPUTED_VALUE"""),880150.0)</f>
        <v>880150</v>
      </c>
      <c r="B682" s="2">
        <f>IFERROR(__xludf.DUMMYFUNCTION("""COMPUTED_VALUE"""),42741.29671170028)</f>
        <v>42741.29671</v>
      </c>
      <c r="C682" s="1" t="str">
        <f>IFERROR(__xludf.DUMMYFUNCTION("""COMPUTED_VALUE"""),"control")</f>
        <v>control</v>
      </c>
      <c r="D682" s="1" t="str">
        <f>IFERROR(__xludf.DUMMYFUNCTION("""COMPUTED_VALUE"""),"old_page")</f>
        <v>old_page</v>
      </c>
      <c r="E682" s="1">
        <f>IFERROR(__xludf.DUMMYFUNCTION("""COMPUTED_VALUE"""),0.0)</f>
        <v>0</v>
      </c>
    </row>
    <row r="683">
      <c r="A683" s="1">
        <f>IFERROR(__xludf.DUMMYFUNCTION("""COMPUTED_VALUE"""),710694.0)</f>
        <v>710694</v>
      </c>
      <c r="B683" s="2">
        <f>IFERROR(__xludf.DUMMYFUNCTION("""COMPUTED_VALUE"""),42744.08238920007)</f>
        <v>42744.08239</v>
      </c>
      <c r="C683" s="1" t="str">
        <f>IFERROR(__xludf.DUMMYFUNCTION("""COMPUTED_VALUE"""),"treatment")</f>
        <v>treatment</v>
      </c>
      <c r="D683" s="1" t="str">
        <f>IFERROR(__xludf.DUMMYFUNCTION("""COMPUTED_VALUE"""),"new_page")</f>
        <v>new_page</v>
      </c>
      <c r="E683" s="1">
        <f>IFERROR(__xludf.DUMMYFUNCTION("""COMPUTED_VALUE"""),0.0)</f>
        <v>0</v>
      </c>
    </row>
    <row r="684">
      <c r="A684" s="1">
        <f>IFERROR(__xludf.DUMMYFUNCTION("""COMPUTED_VALUE"""),710655.0)</f>
        <v>710655</v>
      </c>
      <c r="B684" s="2">
        <f>IFERROR(__xludf.DUMMYFUNCTION("""COMPUTED_VALUE"""),42744.78109474832)</f>
        <v>42744.78109</v>
      </c>
      <c r="C684" s="1" t="str">
        <f>IFERROR(__xludf.DUMMYFUNCTION("""COMPUTED_VALUE"""),"control")</f>
        <v>control</v>
      </c>
      <c r="D684" s="1" t="str">
        <f>IFERROR(__xludf.DUMMYFUNCTION("""COMPUTED_VALUE"""),"old_page")</f>
        <v>old_page</v>
      </c>
      <c r="E684" s="1">
        <f>IFERROR(__xludf.DUMMYFUNCTION("""COMPUTED_VALUE"""),0.0)</f>
        <v>0</v>
      </c>
    </row>
    <row r="685">
      <c r="A685" s="1">
        <f>IFERROR(__xludf.DUMMYFUNCTION("""COMPUTED_VALUE"""),889418.0)</f>
        <v>889418</v>
      </c>
      <c r="B685" s="2">
        <f>IFERROR(__xludf.DUMMYFUNCTION("""COMPUTED_VALUE"""),42759.44923122232)</f>
        <v>42759.44923</v>
      </c>
      <c r="C685" s="1" t="str">
        <f>IFERROR(__xludf.DUMMYFUNCTION("""COMPUTED_VALUE"""),"control")</f>
        <v>control</v>
      </c>
      <c r="D685" s="1" t="str">
        <f>IFERROR(__xludf.DUMMYFUNCTION("""COMPUTED_VALUE"""),"old_page")</f>
        <v>old_page</v>
      </c>
      <c r="E685" s="1">
        <f>IFERROR(__xludf.DUMMYFUNCTION("""COMPUTED_VALUE"""),0.0)</f>
        <v>0</v>
      </c>
    </row>
    <row r="686">
      <c r="A686" s="1">
        <f>IFERROR(__xludf.DUMMYFUNCTION("""COMPUTED_VALUE"""),716056.0)</f>
        <v>716056</v>
      </c>
      <c r="B686" s="2">
        <f>IFERROR(__xludf.DUMMYFUNCTION("""COMPUTED_VALUE"""),42750.01490479568)</f>
        <v>42750.0149</v>
      </c>
      <c r="C686" s="1" t="str">
        <f>IFERROR(__xludf.DUMMYFUNCTION("""COMPUTED_VALUE"""),"control")</f>
        <v>control</v>
      </c>
      <c r="D686" s="1" t="str">
        <f>IFERROR(__xludf.DUMMYFUNCTION("""COMPUTED_VALUE"""),"old_page")</f>
        <v>old_page</v>
      </c>
      <c r="E686" s="1">
        <f>IFERROR(__xludf.DUMMYFUNCTION("""COMPUTED_VALUE"""),0.0)</f>
        <v>0</v>
      </c>
    </row>
    <row r="687">
      <c r="A687" s="1">
        <f>IFERROR(__xludf.DUMMYFUNCTION("""COMPUTED_VALUE"""),666385.0)</f>
        <v>666385</v>
      </c>
      <c r="B687" s="2">
        <f>IFERROR(__xludf.DUMMYFUNCTION("""COMPUTED_VALUE"""),42758.341606757014)</f>
        <v>42758.34161</v>
      </c>
      <c r="C687" s="1" t="str">
        <f>IFERROR(__xludf.DUMMYFUNCTION("""COMPUTED_VALUE"""),"treatment")</f>
        <v>treatment</v>
      </c>
      <c r="D687" s="1" t="str">
        <f>IFERROR(__xludf.DUMMYFUNCTION("""COMPUTED_VALUE"""),"old_page")</f>
        <v>old_page</v>
      </c>
      <c r="E687" s="1">
        <f>IFERROR(__xludf.DUMMYFUNCTION("""COMPUTED_VALUE"""),0.0)</f>
        <v>0</v>
      </c>
    </row>
    <row r="688">
      <c r="A688" s="1">
        <f>IFERROR(__xludf.DUMMYFUNCTION("""COMPUTED_VALUE"""),722924.0)</f>
        <v>722924</v>
      </c>
      <c r="B688" s="2">
        <f>IFERROR(__xludf.DUMMYFUNCTION("""COMPUTED_VALUE"""),42747.407300835286)</f>
        <v>42747.4073</v>
      </c>
      <c r="C688" s="1" t="str">
        <f>IFERROR(__xludf.DUMMYFUNCTION("""COMPUTED_VALUE"""),"treatment")</f>
        <v>treatment</v>
      </c>
      <c r="D688" s="1" t="str">
        <f>IFERROR(__xludf.DUMMYFUNCTION("""COMPUTED_VALUE"""),"new_page")</f>
        <v>new_page</v>
      </c>
      <c r="E688" s="1">
        <f>IFERROR(__xludf.DUMMYFUNCTION("""COMPUTED_VALUE"""),0.0)</f>
        <v>0</v>
      </c>
    </row>
    <row r="689">
      <c r="A689" s="1">
        <f>IFERROR(__xludf.DUMMYFUNCTION("""COMPUTED_VALUE"""),918715.0)</f>
        <v>918715</v>
      </c>
      <c r="B689" s="2">
        <f>IFERROR(__xludf.DUMMYFUNCTION("""COMPUTED_VALUE"""),42743.70752655718)</f>
        <v>42743.70753</v>
      </c>
      <c r="C689" s="1" t="str">
        <f>IFERROR(__xludf.DUMMYFUNCTION("""COMPUTED_VALUE"""),"control")</f>
        <v>control</v>
      </c>
      <c r="D689" s="1" t="str">
        <f>IFERROR(__xludf.DUMMYFUNCTION("""COMPUTED_VALUE"""),"old_page")</f>
        <v>old_page</v>
      </c>
      <c r="E689" s="1">
        <f>IFERROR(__xludf.DUMMYFUNCTION("""COMPUTED_VALUE"""),0.0)</f>
        <v>0</v>
      </c>
    </row>
    <row r="690">
      <c r="A690" s="1">
        <f>IFERROR(__xludf.DUMMYFUNCTION("""COMPUTED_VALUE"""),877751.0)</f>
        <v>877751</v>
      </c>
      <c r="B690" s="2">
        <f>IFERROR(__xludf.DUMMYFUNCTION("""COMPUTED_VALUE"""),42754.936128911606)</f>
        <v>42754.93613</v>
      </c>
      <c r="C690" s="1" t="str">
        <f>IFERROR(__xludf.DUMMYFUNCTION("""COMPUTED_VALUE"""),"control")</f>
        <v>control</v>
      </c>
      <c r="D690" s="1" t="str">
        <f>IFERROR(__xludf.DUMMYFUNCTION("""COMPUTED_VALUE"""),"old_page")</f>
        <v>old_page</v>
      </c>
      <c r="E690" s="1">
        <f>IFERROR(__xludf.DUMMYFUNCTION("""COMPUTED_VALUE"""),0.0)</f>
        <v>0</v>
      </c>
    </row>
    <row r="691">
      <c r="A691" s="1">
        <f>IFERROR(__xludf.DUMMYFUNCTION("""COMPUTED_VALUE"""),692998.0)</f>
        <v>692998</v>
      </c>
      <c r="B691" s="2">
        <f>IFERROR(__xludf.DUMMYFUNCTION("""COMPUTED_VALUE"""),42755.85265161393)</f>
        <v>42755.85265</v>
      </c>
      <c r="C691" s="1" t="str">
        <f>IFERROR(__xludf.DUMMYFUNCTION("""COMPUTED_VALUE"""),"control")</f>
        <v>control</v>
      </c>
      <c r="D691" s="1" t="str">
        <f>IFERROR(__xludf.DUMMYFUNCTION("""COMPUTED_VALUE"""),"old_page")</f>
        <v>old_page</v>
      </c>
      <c r="E691" s="1">
        <f>IFERROR(__xludf.DUMMYFUNCTION("""COMPUTED_VALUE"""),0.0)</f>
        <v>0</v>
      </c>
    </row>
    <row r="692">
      <c r="A692" s="1">
        <f>IFERROR(__xludf.DUMMYFUNCTION("""COMPUTED_VALUE"""),892242.0)</f>
        <v>892242</v>
      </c>
      <c r="B692" s="2">
        <f>IFERROR(__xludf.DUMMYFUNCTION("""COMPUTED_VALUE"""),42751.871917876575)</f>
        <v>42751.87192</v>
      </c>
      <c r="C692" s="1" t="str">
        <f>IFERROR(__xludf.DUMMYFUNCTION("""COMPUTED_VALUE"""),"treatment")</f>
        <v>treatment</v>
      </c>
      <c r="D692" s="1" t="str">
        <f>IFERROR(__xludf.DUMMYFUNCTION("""COMPUTED_VALUE"""),"new_page")</f>
        <v>new_page</v>
      </c>
      <c r="E692" s="1">
        <f>IFERROR(__xludf.DUMMYFUNCTION("""COMPUTED_VALUE"""),0.0)</f>
        <v>0</v>
      </c>
    </row>
    <row r="693">
      <c r="A693" s="1">
        <f>IFERROR(__xludf.DUMMYFUNCTION("""COMPUTED_VALUE"""),795302.0)</f>
        <v>795302</v>
      </c>
      <c r="B693" s="2">
        <f>IFERROR(__xludf.DUMMYFUNCTION("""COMPUTED_VALUE"""),42745.60466789185)</f>
        <v>42745.60467</v>
      </c>
      <c r="C693" s="1" t="str">
        <f>IFERROR(__xludf.DUMMYFUNCTION("""COMPUTED_VALUE"""),"control")</f>
        <v>control</v>
      </c>
      <c r="D693" s="1" t="str">
        <f>IFERROR(__xludf.DUMMYFUNCTION("""COMPUTED_VALUE"""),"old_page")</f>
        <v>old_page</v>
      </c>
      <c r="E693" s="1">
        <f>IFERROR(__xludf.DUMMYFUNCTION("""COMPUTED_VALUE"""),0.0)</f>
        <v>0</v>
      </c>
    </row>
    <row r="694">
      <c r="A694" s="1">
        <f>IFERROR(__xludf.DUMMYFUNCTION("""COMPUTED_VALUE"""),654594.0)</f>
        <v>654594</v>
      </c>
      <c r="B694" s="2">
        <f>IFERROR(__xludf.DUMMYFUNCTION("""COMPUTED_VALUE"""),42745.349369704054)</f>
        <v>42745.34937</v>
      </c>
      <c r="C694" s="1" t="str">
        <f>IFERROR(__xludf.DUMMYFUNCTION("""COMPUTED_VALUE"""),"treatment")</f>
        <v>treatment</v>
      </c>
      <c r="D694" s="1" t="str">
        <f>IFERROR(__xludf.DUMMYFUNCTION("""COMPUTED_VALUE"""),"new_page")</f>
        <v>new_page</v>
      </c>
      <c r="E694" s="1">
        <f>IFERROR(__xludf.DUMMYFUNCTION("""COMPUTED_VALUE"""),0.0)</f>
        <v>0</v>
      </c>
    </row>
    <row r="695">
      <c r="A695" s="1">
        <f>IFERROR(__xludf.DUMMYFUNCTION("""COMPUTED_VALUE"""),875112.0)</f>
        <v>875112</v>
      </c>
      <c r="B695" s="2">
        <f>IFERROR(__xludf.DUMMYFUNCTION("""COMPUTED_VALUE"""),42751.35637268214)</f>
        <v>42751.35637</v>
      </c>
      <c r="C695" s="1" t="str">
        <f>IFERROR(__xludf.DUMMYFUNCTION("""COMPUTED_VALUE"""),"treatment")</f>
        <v>treatment</v>
      </c>
      <c r="D695" s="1" t="str">
        <f>IFERROR(__xludf.DUMMYFUNCTION("""COMPUTED_VALUE"""),"new_page")</f>
        <v>new_page</v>
      </c>
      <c r="E695" s="1">
        <f>IFERROR(__xludf.DUMMYFUNCTION("""COMPUTED_VALUE"""),0.0)</f>
        <v>0</v>
      </c>
    </row>
    <row r="696">
      <c r="A696" s="1">
        <f>IFERROR(__xludf.DUMMYFUNCTION("""COMPUTED_VALUE"""),708305.0)</f>
        <v>708305</v>
      </c>
      <c r="B696" s="2">
        <f>IFERROR(__xludf.DUMMYFUNCTION("""COMPUTED_VALUE"""),42740.98070507455)</f>
        <v>42740.98071</v>
      </c>
      <c r="C696" s="1" t="str">
        <f>IFERROR(__xludf.DUMMYFUNCTION("""COMPUTED_VALUE"""),"control")</f>
        <v>control</v>
      </c>
      <c r="D696" s="1" t="str">
        <f>IFERROR(__xludf.DUMMYFUNCTION("""COMPUTED_VALUE"""),"old_page")</f>
        <v>old_page</v>
      </c>
      <c r="E696" s="1">
        <f>IFERROR(__xludf.DUMMYFUNCTION("""COMPUTED_VALUE"""),0.0)</f>
        <v>0</v>
      </c>
    </row>
    <row r="697">
      <c r="A697" s="1">
        <f>IFERROR(__xludf.DUMMYFUNCTION("""COMPUTED_VALUE"""),836170.0)</f>
        <v>836170</v>
      </c>
      <c r="B697" s="2">
        <f>IFERROR(__xludf.DUMMYFUNCTION("""COMPUTED_VALUE"""),42757.218899685984)</f>
        <v>42757.2189</v>
      </c>
      <c r="C697" s="1" t="str">
        <f>IFERROR(__xludf.DUMMYFUNCTION("""COMPUTED_VALUE"""),"treatment")</f>
        <v>treatment</v>
      </c>
      <c r="D697" s="1" t="str">
        <f>IFERROR(__xludf.DUMMYFUNCTION("""COMPUTED_VALUE"""),"new_page")</f>
        <v>new_page</v>
      </c>
      <c r="E697" s="1">
        <f>IFERROR(__xludf.DUMMYFUNCTION("""COMPUTED_VALUE"""),0.0)</f>
        <v>0</v>
      </c>
    </row>
    <row r="698">
      <c r="A698" s="1">
        <f>IFERROR(__xludf.DUMMYFUNCTION("""COMPUTED_VALUE"""),739657.0)</f>
        <v>739657</v>
      </c>
      <c r="B698" s="2">
        <f>IFERROR(__xludf.DUMMYFUNCTION("""COMPUTED_VALUE"""),42754.435808898874)</f>
        <v>42754.43581</v>
      </c>
      <c r="C698" s="1" t="str">
        <f>IFERROR(__xludf.DUMMYFUNCTION("""COMPUTED_VALUE"""),"treatment")</f>
        <v>treatment</v>
      </c>
      <c r="D698" s="1" t="str">
        <f>IFERROR(__xludf.DUMMYFUNCTION("""COMPUTED_VALUE"""),"new_page")</f>
        <v>new_page</v>
      </c>
      <c r="E698" s="1">
        <f>IFERROR(__xludf.DUMMYFUNCTION("""COMPUTED_VALUE"""),0.0)</f>
        <v>0</v>
      </c>
    </row>
    <row r="699">
      <c r="A699" s="1">
        <f>IFERROR(__xludf.DUMMYFUNCTION("""COMPUTED_VALUE"""),720795.0)</f>
        <v>720795</v>
      </c>
      <c r="B699" s="2">
        <f>IFERROR(__xludf.DUMMYFUNCTION("""COMPUTED_VALUE"""),42743.54212402564)</f>
        <v>42743.54212</v>
      </c>
      <c r="C699" s="1" t="str">
        <f>IFERROR(__xludf.DUMMYFUNCTION("""COMPUTED_VALUE"""),"treatment")</f>
        <v>treatment</v>
      </c>
      <c r="D699" s="1" t="str">
        <f>IFERROR(__xludf.DUMMYFUNCTION("""COMPUTED_VALUE"""),"new_page")</f>
        <v>new_page</v>
      </c>
      <c r="E699" s="1">
        <f>IFERROR(__xludf.DUMMYFUNCTION("""COMPUTED_VALUE"""),0.0)</f>
        <v>0</v>
      </c>
    </row>
    <row r="700">
      <c r="A700" s="1">
        <f>IFERROR(__xludf.DUMMYFUNCTION("""COMPUTED_VALUE"""),827500.0)</f>
        <v>827500</v>
      </c>
      <c r="B700" s="2">
        <f>IFERROR(__xludf.DUMMYFUNCTION("""COMPUTED_VALUE"""),42741.95879635578)</f>
        <v>42741.9588</v>
      </c>
      <c r="C700" s="1" t="str">
        <f>IFERROR(__xludf.DUMMYFUNCTION("""COMPUTED_VALUE"""),"treatment")</f>
        <v>treatment</v>
      </c>
      <c r="D700" s="1" t="str">
        <f>IFERROR(__xludf.DUMMYFUNCTION("""COMPUTED_VALUE"""),"new_page")</f>
        <v>new_page</v>
      </c>
      <c r="E700" s="1">
        <f>IFERROR(__xludf.DUMMYFUNCTION("""COMPUTED_VALUE"""),0.0)</f>
        <v>0</v>
      </c>
    </row>
    <row r="701">
      <c r="A701" s="1">
        <f>IFERROR(__xludf.DUMMYFUNCTION("""COMPUTED_VALUE"""),695790.0)</f>
        <v>695790</v>
      </c>
      <c r="B701" s="2">
        <f>IFERROR(__xludf.DUMMYFUNCTION("""COMPUTED_VALUE"""),42751.48428667672)</f>
        <v>42751.48429</v>
      </c>
      <c r="C701" s="1" t="str">
        <f>IFERROR(__xludf.DUMMYFUNCTION("""COMPUTED_VALUE"""),"treatment")</f>
        <v>treatment</v>
      </c>
      <c r="D701" s="1" t="str">
        <f>IFERROR(__xludf.DUMMYFUNCTION("""COMPUTED_VALUE"""),"new_page")</f>
        <v>new_page</v>
      </c>
      <c r="E701" s="1">
        <f>IFERROR(__xludf.DUMMYFUNCTION("""COMPUTED_VALUE"""),0.0)</f>
        <v>0</v>
      </c>
    </row>
    <row r="702">
      <c r="A702" s="1">
        <f>IFERROR(__xludf.DUMMYFUNCTION("""COMPUTED_VALUE"""),900320.0)</f>
        <v>900320</v>
      </c>
      <c r="B702" s="2">
        <f>IFERROR(__xludf.DUMMYFUNCTION("""COMPUTED_VALUE"""),42745.00018732277)</f>
        <v>42745.00019</v>
      </c>
      <c r="C702" s="1" t="str">
        <f>IFERROR(__xludf.DUMMYFUNCTION("""COMPUTED_VALUE"""),"control")</f>
        <v>control</v>
      </c>
      <c r="D702" s="1" t="str">
        <f>IFERROR(__xludf.DUMMYFUNCTION("""COMPUTED_VALUE"""),"old_page")</f>
        <v>old_page</v>
      </c>
      <c r="E702" s="1">
        <f>IFERROR(__xludf.DUMMYFUNCTION("""COMPUTED_VALUE"""),0.0)</f>
        <v>0</v>
      </c>
    </row>
    <row r="703">
      <c r="A703" s="1">
        <f>IFERROR(__xludf.DUMMYFUNCTION("""COMPUTED_VALUE"""),739874.0)</f>
        <v>739874</v>
      </c>
      <c r="B703" s="2">
        <f>IFERROR(__xludf.DUMMYFUNCTION("""COMPUTED_VALUE"""),42749.01605526787)</f>
        <v>42749.01606</v>
      </c>
      <c r="C703" s="1" t="str">
        <f>IFERROR(__xludf.DUMMYFUNCTION("""COMPUTED_VALUE"""),"treatment")</f>
        <v>treatment</v>
      </c>
      <c r="D703" s="1" t="str">
        <f>IFERROR(__xludf.DUMMYFUNCTION("""COMPUTED_VALUE"""),"new_page")</f>
        <v>new_page</v>
      </c>
      <c r="E703" s="1">
        <f>IFERROR(__xludf.DUMMYFUNCTION("""COMPUTED_VALUE"""),0.0)</f>
        <v>0</v>
      </c>
    </row>
    <row r="704">
      <c r="A704" s="1">
        <f>IFERROR(__xludf.DUMMYFUNCTION("""COMPUTED_VALUE"""),763297.0)</f>
        <v>763297</v>
      </c>
      <c r="B704" s="2">
        <f>IFERROR(__xludf.DUMMYFUNCTION("""COMPUTED_VALUE"""),42745.558450362616)</f>
        <v>42745.55845</v>
      </c>
      <c r="C704" s="1" t="str">
        <f>IFERROR(__xludf.DUMMYFUNCTION("""COMPUTED_VALUE"""),"control")</f>
        <v>control</v>
      </c>
      <c r="D704" s="1" t="str">
        <f>IFERROR(__xludf.DUMMYFUNCTION("""COMPUTED_VALUE"""),"old_page")</f>
        <v>old_page</v>
      </c>
      <c r="E704" s="1">
        <f>IFERROR(__xludf.DUMMYFUNCTION("""COMPUTED_VALUE"""),0.0)</f>
        <v>0</v>
      </c>
    </row>
    <row r="705">
      <c r="A705" s="1">
        <f>IFERROR(__xludf.DUMMYFUNCTION("""COMPUTED_VALUE"""),859503.0)</f>
        <v>859503</v>
      </c>
      <c r="B705" s="2">
        <f>IFERROR(__xludf.DUMMYFUNCTION("""COMPUTED_VALUE"""),42759.169757108226)</f>
        <v>42759.16976</v>
      </c>
      <c r="C705" s="1" t="str">
        <f>IFERROR(__xludf.DUMMYFUNCTION("""COMPUTED_VALUE"""),"control")</f>
        <v>control</v>
      </c>
      <c r="D705" s="1" t="str">
        <f>IFERROR(__xludf.DUMMYFUNCTION("""COMPUTED_VALUE"""),"old_page")</f>
        <v>old_page</v>
      </c>
      <c r="E705" s="1">
        <f>IFERROR(__xludf.DUMMYFUNCTION("""COMPUTED_VALUE"""),0.0)</f>
        <v>0</v>
      </c>
    </row>
    <row r="706">
      <c r="A706" s="1">
        <f>IFERROR(__xludf.DUMMYFUNCTION("""COMPUTED_VALUE"""),846844.0)</f>
        <v>846844</v>
      </c>
      <c r="B706" s="2">
        <f>IFERROR(__xludf.DUMMYFUNCTION("""COMPUTED_VALUE"""),42756.29255095162)</f>
        <v>42756.29255</v>
      </c>
      <c r="C706" s="1" t="str">
        <f>IFERROR(__xludf.DUMMYFUNCTION("""COMPUTED_VALUE"""),"control")</f>
        <v>control</v>
      </c>
      <c r="D706" s="1" t="str">
        <f>IFERROR(__xludf.DUMMYFUNCTION("""COMPUTED_VALUE"""),"old_page")</f>
        <v>old_page</v>
      </c>
      <c r="E706" s="1">
        <f>IFERROR(__xludf.DUMMYFUNCTION("""COMPUTED_VALUE"""),1.0)</f>
        <v>1</v>
      </c>
    </row>
    <row r="707">
      <c r="A707" s="1">
        <f>IFERROR(__xludf.DUMMYFUNCTION("""COMPUTED_VALUE"""),752554.0)</f>
        <v>752554</v>
      </c>
      <c r="B707" s="2">
        <f>IFERROR(__xludf.DUMMYFUNCTION("""COMPUTED_VALUE"""),42752.92855156317)</f>
        <v>42752.92855</v>
      </c>
      <c r="C707" s="1" t="str">
        <f>IFERROR(__xludf.DUMMYFUNCTION("""COMPUTED_VALUE"""),"treatment")</f>
        <v>treatment</v>
      </c>
      <c r="D707" s="1" t="str">
        <f>IFERROR(__xludf.DUMMYFUNCTION("""COMPUTED_VALUE"""),"new_page")</f>
        <v>new_page</v>
      </c>
      <c r="E707" s="1">
        <f>IFERROR(__xludf.DUMMYFUNCTION("""COMPUTED_VALUE"""),0.0)</f>
        <v>0</v>
      </c>
    </row>
    <row r="708">
      <c r="A708" s="1">
        <f>IFERROR(__xludf.DUMMYFUNCTION("""COMPUTED_VALUE"""),725498.0)</f>
        <v>725498</v>
      </c>
      <c r="B708" s="2">
        <f>IFERROR(__xludf.DUMMYFUNCTION("""COMPUTED_VALUE"""),42756.64168893332)</f>
        <v>42756.64169</v>
      </c>
      <c r="C708" s="1" t="str">
        <f>IFERROR(__xludf.DUMMYFUNCTION("""COMPUTED_VALUE"""),"treatment")</f>
        <v>treatment</v>
      </c>
      <c r="D708" s="1" t="str">
        <f>IFERROR(__xludf.DUMMYFUNCTION("""COMPUTED_VALUE"""),"new_page")</f>
        <v>new_page</v>
      </c>
      <c r="E708" s="1">
        <f>IFERROR(__xludf.DUMMYFUNCTION("""COMPUTED_VALUE"""),0.0)</f>
        <v>0</v>
      </c>
    </row>
    <row r="709">
      <c r="A709" s="1">
        <f>IFERROR(__xludf.DUMMYFUNCTION("""COMPUTED_VALUE"""),860734.0)</f>
        <v>860734</v>
      </c>
      <c r="B709" s="2">
        <f>IFERROR(__xludf.DUMMYFUNCTION("""COMPUTED_VALUE"""),42738.8653313246)</f>
        <v>42738.86533</v>
      </c>
      <c r="C709" s="1" t="str">
        <f>IFERROR(__xludf.DUMMYFUNCTION("""COMPUTED_VALUE"""),"treatment")</f>
        <v>treatment</v>
      </c>
      <c r="D709" s="1" t="str">
        <f>IFERROR(__xludf.DUMMYFUNCTION("""COMPUTED_VALUE"""),"new_page")</f>
        <v>new_page</v>
      </c>
      <c r="E709" s="1">
        <f>IFERROR(__xludf.DUMMYFUNCTION("""COMPUTED_VALUE"""),0.0)</f>
        <v>0</v>
      </c>
    </row>
    <row r="710">
      <c r="A710" s="1">
        <f>IFERROR(__xludf.DUMMYFUNCTION("""COMPUTED_VALUE"""),833593.0)</f>
        <v>833593</v>
      </c>
      <c r="B710" s="2">
        <f>IFERROR(__xludf.DUMMYFUNCTION("""COMPUTED_VALUE"""),42748.121094156435)</f>
        <v>42748.12109</v>
      </c>
      <c r="C710" s="1" t="str">
        <f>IFERROR(__xludf.DUMMYFUNCTION("""COMPUTED_VALUE"""),"treatment")</f>
        <v>treatment</v>
      </c>
      <c r="D710" s="1" t="str">
        <f>IFERROR(__xludf.DUMMYFUNCTION("""COMPUTED_VALUE"""),"new_page")</f>
        <v>new_page</v>
      </c>
      <c r="E710" s="1">
        <f>IFERROR(__xludf.DUMMYFUNCTION("""COMPUTED_VALUE"""),0.0)</f>
        <v>0</v>
      </c>
    </row>
    <row r="711">
      <c r="A711" s="1">
        <f>IFERROR(__xludf.DUMMYFUNCTION("""COMPUTED_VALUE"""),915537.0)</f>
        <v>915537</v>
      </c>
      <c r="B711" s="2">
        <f>IFERROR(__xludf.DUMMYFUNCTION("""COMPUTED_VALUE"""),42752.96836851326)</f>
        <v>42752.96837</v>
      </c>
      <c r="C711" s="1" t="str">
        <f>IFERROR(__xludf.DUMMYFUNCTION("""COMPUTED_VALUE"""),"treatment")</f>
        <v>treatment</v>
      </c>
      <c r="D711" s="1" t="str">
        <f>IFERROR(__xludf.DUMMYFUNCTION("""COMPUTED_VALUE"""),"new_page")</f>
        <v>new_page</v>
      </c>
      <c r="E711" s="1">
        <f>IFERROR(__xludf.DUMMYFUNCTION("""COMPUTED_VALUE"""),0.0)</f>
        <v>0</v>
      </c>
    </row>
    <row r="712">
      <c r="A712" s="1">
        <f>IFERROR(__xludf.DUMMYFUNCTION("""COMPUTED_VALUE"""),859195.0)</f>
        <v>859195</v>
      </c>
      <c r="B712" s="2">
        <f>IFERROR(__xludf.DUMMYFUNCTION("""COMPUTED_VALUE"""),42758.48973380643)</f>
        <v>42758.48973</v>
      </c>
      <c r="C712" s="1" t="str">
        <f>IFERROR(__xludf.DUMMYFUNCTION("""COMPUTED_VALUE"""),"control")</f>
        <v>control</v>
      </c>
      <c r="D712" s="1" t="str">
        <f>IFERROR(__xludf.DUMMYFUNCTION("""COMPUTED_VALUE"""),"old_page")</f>
        <v>old_page</v>
      </c>
      <c r="E712" s="1">
        <f>IFERROR(__xludf.DUMMYFUNCTION("""COMPUTED_VALUE"""),0.0)</f>
        <v>0</v>
      </c>
    </row>
    <row r="713">
      <c r="A713" s="1">
        <f>IFERROR(__xludf.DUMMYFUNCTION("""COMPUTED_VALUE"""),800609.0)</f>
        <v>800609</v>
      </c>
      <c r="B713" s="2">
        <f>IFERROR(__xludf.DUMMYFUNCTION("""COMPUTED_VALUE"""),42756.92601684066)</f>
        <v>42756.92602</v>
      </c>
      <c r="C713" s="1" t="str">
        <f>IFERROR(__xludf.DUMMYFUNCTION("""COMPUTED_VALUE"""),"control")</f>
        <v>control</v>
      </c>
      <c r="D713" s="1" t="str">
        <f>IFERROR(__xludf.DUMMYFUNCTION("""COMPUTED_VALUE"""),"old_page")</f>
        <v>old_page</v>
      </c>
      <c r="E713" s="1">
        <f>IFERROR(__xludf.DUMMYFUNCTION("""COMPUTED_VALUE"""),0.0)</f>
        <v>0</v>
      </c>
    </row>
    <row r="714">
      <c r="A714" s="1">
        <f>IFERROR(__xludf.DUMMYFUNCTION("""COMPUTED_VALUE"""),765376.0)</f>
        <v>765376</v>
      </c>
      <c r="B714" s="2">
        <f>IFERROR(__xludf.DUMMYFUNCTION("""COMPUTED_VALUE"""),42758.88396391622)</f>
        <v>42758.88396</v>
      </c>
      <c r="C714" s="1" t="str">
        <f>IFERROR(__xludf.DUMMYFUNCTION("""COMPUTED_VALUE"""),"control")</f>
        <v>control</v>
      </c>
      <c r="D714" s="1" t="str">
        <f>IFERROR(__xludf.DUMMYFUNCTION("""COMPUTED_VALUE"""),"old_page")</f>
        <v>old_page</v>
      </c>
      <c r="E714" s="1">
        <f>IFERROR(__xludf.DUMMYFUNCTION("""COMPUTED_VALUE"""),0.0)</f>
        <v>0</v>
      </c>
    </row>
    <row r="715">
      <c r="A715" s="1">
        <f>IFERROR(__xludf.DUMMYFUNCTION("""COMPUTED_VALUE"""),748761.0)</f>
        <v>748761</v>
      </c>
      <c r="B715" s="2">
        <f>IFERROR(__xludf.DUMMYFUNCTION("""COMPUTED_VALUE"""),42745.65815330088)</f>
        <v>42745.65815</v>
      </c>
      <c r="C715" s="1" t="str">
        <f>IFERROR(__xludf.DUMMYFUNCTION("""COMPUTED_VALUE"""),"treatment")</f>
        <v>treatment</v>
      </c>
      <c r="D715" s="1" t="str">
        <f>IFERROR(__xludf.DUMMYFUNCTION("""COMPUTED_VALUE"""),"old_page")</f>
        <v>old_page</v>
      </c>
      <c r="E715" s="1">
        <f>IFERROR(__xludf.DUMMYFUNCTION("""COMPUTED_VALUE"""),0.0)</f>
        <v>0</v>
      </c>
    </row>
    <row r="716">
      <c r="A716" s="1">
        <f>IFERROR(__xludf.DUMMYFUNCTION("""COMPUTED_VALUE"""),811847.0)</f>
        <v>811847</v>
      </c>
      <c r="B716" s="2">
        <f>IFERROR(__xludf.DUMMYFUNCTION("""COMPUTED_VALUE"""),42754.496398236515)</f>
        <v>42754.4964</v>
      </c>
      <c r="C716" s="1" t="str">
        <f>IFERROR(__xludf.DUMMYFUNCTION("""COMPUTED_VALUE"""),"treatment")</f>
        <v>treatment</v>
      </c>
      <c r="D716" s="1" t="str">
        <f>IFERROR(__xludf.DUMMYFUNCTION("""COMPUTED_VALUE"""),"new_page")</f>
        <v>new_page</v>
      </c>
      <c r="E716" s="1">
        <f>IFERROR(__xludf.DUMMYFUNCTION("""COMPUTED_VALUE"""),0.0)</f>
        <v>0</v>
      </c>
    </row>
    <row r="717">
      <c r="A717" s="1">
        <f>IFERROR(__xludf.DUMMYFUNCTION("""COMPUTED_VALUE"""),725787.0)</f>
        <v>725787</v>
      </c>
      <c r="B717" s="2">
        <f>IFERROR(__xludf.DUMMYFUNCTION("""COMPUTED_VALUE"""),42741.363324757716)</f>
        <v>42741.36332</v>
      </c>
      <c r="C717" s="1" t="str">
        <f>IFERROR(__xludf.DUMMYFUNCTION("""COMPUTED_VALUE"""),"control")</f>
        <v>control</v>
      </c>
      <c r="D717" s="1" t="str">
        <f>IFERROR(__xludf.DUMMYFUNCTION("""COMPUTED_VALUE"""),"old_page")</f>
        <v>old_page</v>
      </c>
      <c r="E717" s="1">
        <f>IFERROR(__xludf.DUMMYFUNCTION("""COMPUTED_VALUE"""),1.0)</f>
        <v>1</v>
      </c>
    </row>
    <row r="718">
      <c r="A718" s="1">
        <f>IFERROR(__xludf.DUMMYFUNCTION("""COMPUTED_VALUE"""),635658.0)</f>
        <v>635658</v>
      </c>
      <c r="B718" s="2">
        <f>IFERROR(__xludf.DUMMYFUNCTION("""COMPUTED_VALUE"""),42747.37533673971)</f>
        <v>42747.37534</v>
      </c>
      <c r="C718" s="1" t="str">
        <f>IFERROR(__xludf.DUMMYFUNCTION("""COMPUTED_VALUE"""),"treatment")</f>
        <v>treatment</v>
      </c>
      <c r="D718" s="1" t="str">
        <f>IFERROR(__xludf.DUMMYFUNCTION("""COMPUTED_VALUE"""),"new_page")</f>
        <v>new_page</v>
      </c>
      <c r="E718" s="1">
        <f>IFERROR(__xludf.DUMMYFUNCTION("""COMPUTED_VALUE"""),0.0)</f>
        <v>0</v>
      </c>
    </row>
    <row r="719">
      <c r="A719" s="1">
        <f>IFERROR(__xludf.DUMMYFUNCTION("""COMPUTED_VALUE"""),801651.0)</f>
        <v>801651</v>
      </c>
      <c r="B719" s="2">
        <f>IFERROR(__xludf.DUMMYFUNCTION("""COMPUTED_VALUE"""),42752.457691103926)</f>
        <v>42752.45769</v>
      </c>
      <c r="C719" s="1" t="str">
        <f>IFERROR(__xludf.DUMMYFUNCTION("""COMPUTED_VALUE"""),"treatment")</f>
        <v>treatment</v>
      </c>
      <c r="D719" s="1" t="str">
        <f>IFERROR(__xludf.DUMMYFUNCTION("""COMPUTED_VALUE"""),"new_page")</f>
        <v>new_page</v>
      </c>
      <c r="E719" s="1">
        <f>IFERROR(__xludf.DUMMYFUNCTION("""COMPUTED_VALUE"""),0.0)</f>
        <v>0</v>
      </c>
    </row>
    <row r="720">
      <c r="A720" s="1">
        <f>IFERROR(__xludf.DUMMYFUNCTION("""COMPUTED_VALUE"""),878564.0)</f>
        <v>878564</v>
      </c>
      <c r="B720" s="2">
        <f>IFERROR(__xludf.DUMMYFUNCTION("""COMPUTED_VALUE"""),42754.57135596956)</f>
        <v>42754.57136</v>
      </c>
      <c r="C720" s="1" t="str">
        <f>IFERROR(__xludf.DUMMYFUNCTION("""COMPUTED_VALUE"""),"treatment")</f>
        <v>treatment</v>
      </c>
      <c r="D720" s="1" t="str">
        <f>IFERROR(__xludf.DUMMYFUNCTION("""COMPUTED_VALUE"""),"new_page")</f>
        <v>new_page</v>
      </c>
      <c r="E720" s="1">
        <f>IFERROR(__xludf.DUMMYFUNCTION("""COMPUTED_VALUE"""),0.0)</f>
        <v>0</v>
      </c>
    </row>
    <row r="721">
      <c r="A721" s="1">
        <f>IFERROR(__xludf.DUMMYFUNCTION("""COMPUTED_VALUE"""),742108.0)</f>
        <v>742108</v>
      </c>
      <c r="B721" s="2">
        <f>IFERROR(__xludf.DUMMYFUNCTION("""COMPUTED_VALUE"""),42741.26451555207)</f>
        <v>42741.26452</v>
      </c>
      <c r="C721" s="1" t="str">
        <f>IFERROR(__xludf.DUMMYFUNCTION("""COMPUTED_VALUE"""),"control")</f>
        <v>control</v>
      </c>
      <c r="D721" s="1" t="str">
        <f>IFERROR(__xludf.DUMMYFUNCTION("""COMPUTED_VALUE"""),"old_page")</f>
        <v>old_page</v>
      </c>
      <c r="E721" s="1">
        <f>IFERROR(__xludf.DUMMYFUNCTION("""COMPUTED_VALUE"""),0.0)</f>
        <v>0</v>
      </c>
    </row>
    <row r="722">
      <c r="A722" s="1">
        <f>IFERROR(__xludf.DUMMYFUNCTION("""COMPUTED_VALUE"""),850206.0)</f>
        <v>850206</v>
      </c>
      <c r="B722" s="2">
        <f>IFERROR(__xludf.DUMMYFUNCTION("""COMPUTED_VALUE"""),42752.99396724308)</f>
        <v>42752.99397</v>
      </c>
      <c r="C722" s="1" t="str">
        <f>IFERROR(__xludf.DUMMYFUNCTION("""COMPUTED_VALUE"""),"control")</f>
        <v>control</v>
      </c>
      <c r="D722" s="1" t="str">
        <f>IFERROR(__xludf.DUMMYFUNCTION("""COMPUTED_VALUE"""),"old_page")</f>
        <v>old_page</v>
      </c>
      <c r="E722" s="1">
        <f>IFERROR(__xludf.DUMMYFUNCTION("""COMPUTED_VALUE"""),0.0)</f>
        <v>0</v>
      </c>
    </row>
    <row r="723">
      <c r="A723" s="1">
        <f>IFERROR(__xludf.DUMMYFUNCTION("""COMPUTED_VALUE"""),694078.0)</f>
        <v>694078</v>
      </c>
      <c r="B723" s="2">
        <f>IFERROR(__xludf.DUMMYFUNCTION("""COMPUTED_VALUE"""),42746.91983078475)</f>
        <v>42746.91983</v>
      </c>
      <c r="C723" s="1" t="str">
        <f>IFERROR(__xludf.DUMMYFUNCTION("""COMPUTED_VALUE"""),"control")</f>
        <v>control</v>
      </c>
      <c r="D723" s="1" t="str">
        <f>IFERROR(__xludf.DUMMYFUNCTION("""COMPUTED_VALUE"""),"old_page")</f>
        <v>old_page</v>
      </c>
      <c r="E723" s="1">
        <f>IFERROR(__xludf.DUMMYFUNCTION("""COMPUTED_VALUE"""),1.0)</f>
        <v>1</v>
      </c>
    </row>
    <row r="724">
      <c r="A724" s="1">
        <f>IFERROR(__xludf.DUMMYFUNCTION("""COMPUTED_VALUE"""),851399.0)</f>
        <v>851399</v>
      </c>
      <c r="B724" s="2">
        <f>IFERROR(__xludf.DUMMYFUNCTION("""COMPUTED_VALUE"""),42748.11537961706)</f>
        <v>42748.11538</v>
      </c>
      <c r="C724" s="1" t="str">
        <f>IFERROR(__xludf.DUMMYFUNCTION("""COMPUTED_VALUE"""),"control")</f>
        <v>control</v>
      </c>
      <c r="D724" s="1" t="str">
        <f>IFERROR(__xludf.DUMMYFUNCTION("""COMPUTED_VALUE"""),"old_page")</f>
        <v>old_page</v>
      </c>
      <c r="E724" s="1">
        <f>IFERROR(__xludf.DUMMYFUNCTION("""COMPUTED_VALUE"""),0.0)</f>
        <v>0</v>
      </c>
    </row>
    <row r="725">
      <c r="A725" s="1">
        <f>IFERROR(__xludf.DUMMYFUNCTION("""COMPUTED_VALUE"""),671767.0)</f>
        <v>671767</v>
      </c>
      <c r="B725" s="2">
        <f>IFERROR(__xludf.DUMMYFUNCTION("""COMPUTED_VALUE"""),42738.31341014525)</f>
        <v>42738.31341</v>
      </c>
      <c r="C725" s="1" t="str">
        <f>IFERROR(__xludf.DUMMYFUNCTION("""COMPUTED_VALUE"""),"treatment")</f>
        <v>treatment</v>
      </c>
      <c r="D725" s="1" t="str">
        <f>IFERROR(__xludf.DUMMYFUNCTION("""COMPUTED_VALUE"""),"new_page")</f>
        <v>new_page</v>
      </c>
      <c r="E725" s="1">
        <f>IFERROR(__xludf.DUMMYFUNCTION("""COMPUTED_VALUE"""),0.0)</f>
        <v>0</v>
      </c>
    </row>
    <row r="726">
      <c r="A726" s="1">
        <f>IFERROR(__xludf.DUMMYFUNCTION("""COMPUTED_VALUE"""),700736.0)</f>
        <v>700736</v>
      </c>
      <c r="B726" s="2">
        <f>IFERROR(__xludf.DUMMYFUNCTION("""COMPUTED_VALUE"""),42738.83769692743)</f>
        <v>42738.8377</v>
      </c>
      <c r="C726" s="1" t="str">
        <f>IFERROR(__xludf.DUMMYFUNCTION("""COMPUTED_VALUE"""),"treatment")</f>
        <v>treatment</v>
      </c>
      <c r="D726" s="1" t="str">
        <f>IFERROR(__xludf.DUMMYFUNCTION("""COMPUTED_VALUE"""),"new_page")</f>
        <v>new_page</v>
      </c>
      <c r="E726" s="1">
        <f>IFERROR(__xludf.DUMMYFUNCTION("""COMPUTED_VALUE"""),0.0)</f>
        <v>0</v>
      </c>
    </row>
    <row r="727">
      <c r="A727" s="1">
        <f>IFERROR(__xludf.DUMMYFUNCTION("""COMPUTED_VALUE"""),864485.0)</f>
        <v>864485</v>
      </c>
      <c r="B727" s="2">
        <f>IFERROR(__xludf.DUMMYFUNCTION("""COMPUTED_VALUE"""),42743.63239960595)</f>
        <v>42743.6324</v>
      </c>
      <c r="C727" s="1" t="str">
        <f>IFERROR(__xludf.DUMMYFUNCTION("""COMPUTED_VALUE"""),"control")</f>
        <v>control</v>
      </c>
      <c r="D727" s="1" t="str">
        <f>IFERROR(__xludf.DUMMYFUNCTION("""COMPUTED_VALUE"""),"old_page")</f>
        <v>old_page</v>
      </c>
      <c r="E727" s="1">
        <f>IFERROR(__xludf.DUMMYFUNCTION("""COMPUTED_VALUE"""),0.0)</f>
        <v>0</v>
      </c>
    </row>
    <row r="728">
      <c r="A728" s="1">
        <f>IFERROR(__xludf.DUMMYFUNCTION("""COMPUTED_VALUE"""),650917.0)</f>
        <v>650917</v>
      </c>
      <c r="B728" s="2">
        <f>IFERROR(__xludf.DUMMYFUNCTION("""COMPUTED_VALUE"""),42744.525294336505)</f>
        <v>42744.52529</v>
      </c>
      <c r="C728" s="1" t="str">
        <f>IFERROR(__xludf.DUMMYFUNCTION("""COMPUTED_VALUE"""),"treatment")</f>
        <v>treatment</v>
      </c>
      <c r="D728" s="1" t="str">
        <f>IFERROR(__xludf.DUMMYFUNCTION("""COMPUTED_VALUE"""),"new_page")</f>
        <v>new_page</v>
      </c>
      <c r="E728" s="1">
        <f>IFERROR(__xludf.DUMMYFUNCTION("""COMPUTED_VALUE"""),1.0)</f>
        <v>1</v>
      </c>
    </row>
    <row r="729">
      <c r="A729" s="1">
        <f>IFERROR(__xludf.DUMMYFUNCTION("""COMPUTED_VALUE"""),735565.0)</f>
        <v>735565</v>
      </c>
      <c r="B729" s="2">
        <f>IFERROR(__xludf.DUMMYFUNCTION("""COMPUTED_VALUE"""),42758.752142112455)</f>
        <v>42758.75214</v>
      </c>
      <c r="C729" s="1" t="str">
        <f>IFERROR(__xludf.DUMMYFUNCTION("""COMPUTED_VALUE"""),"control")</f>
        <v>control</v>
      </c>
      <c r="D729" s="1" t="str">
        <f>IFERROR(__xludf.DUMMYFUNCTION("""COMPUTED_VALUE"""),"old_page")</f>
        <v>old_page</v>
      </c>
      <c r="E729" s="1">
        <f>IFERROR(__xludf.DUMMYFUNCTION("""COMPUTED_VALUE"""),0.0)</f>
        <v>0</v>
      </c>
    </row>
    <row r="730">
      <c r="A730" s="1">
        <f>IFERROR(__xludf.DUMMYFUNCTION("""COMPUTED_VALUE"""),743217.0)</f>
        <v>743217</v>
      </c>
      <c r="B730" s="2">
        <f>IFERROR(__xludf.DUMMYFUNCTION("""COMPUTED_VALUE"""),42739.31431221173)</f>
        <v>42739.31431</v>
      </c>
      <c r="C730" s="1" t="str">
        <f>IFERROR(__xludf.DUMMYFUNCTION("""COMPUTED_VALUE"""),"treatment")</f>
        <v>treatment</v>
      </c>
      <c r="D730" s="1" t="str">
        <f>IFERROR(__xludf.DUMMYFUNCTION("""COMPUTED_VALUE"""),"new_page")</f>
        <v>new_page</v>
      </c>
      <c r="E730" s="1">
        <f>IFERROR(__xludf.DUMMYFUNCTION("""COMPUTED_VALUE"""),0.0)</f>
        <v>0</v>
      </c>
    </row>
    <row r="731">
      <c r="A731" s="1">
        <f>IFERROR(__xludf.DUMMYFUNCTION("""COMPUTED_VALUE"""),867081.0)</f>
        <v>867081</v>
      </c>
      <c r="B731" s="2">
        <f>IFERROR(__xludf.DUMMYFUNCTION("""COMPUTED_VALUE"""),42757.54592309238)</f>
        <v>42757.54592</v>
      </c>
      <c r="C731" s="1" t="str">
        <f>IFERROR(__xludf.DUMMYFUNCTION("""COMPUTED_VALUE"""),"treatment")</f>
        <v>treatment</v>
      </c>
      <c r="D731" s="1" t="str">
        <f>IFERROR(__xludf.DUMMYFUNCTION("""COMPUTED_VALUE"""),"new_page")</f>
        <v>new_page</v>
      </c>
      <c r="E731" s="1">
        <f>IFERROR(__xludf.DUMMYFUNCTION("""COMPUTED_VALUE"""),1.0)</f>
        <v>1</v>
      </c>
    </row>
    <row r="732">
      <c r="A732" s="1">
        <f>IFERROR(__xludf.DUMMYFUNCTION("""COMPUTED_VALUE"""),831334.0)</f>
        <v>831334</v>
      </c>
      <c r="B732" s="2">
        <f>IFERROR(__xludf.DUMMYFUNCTION("""COMPUTED_VALUE"""),42746.68710750532)</f>
        <v>42746.68711</v>
      </c>
      <c r="C732" s="1" t="str">
        <f>IFERROR(__xludf.DUMMYFUNCTION("""COMPUTED_VALUE"""),"treatment")</f>
        <v>treatment</v>
      </c>
      <c r="D732" s="1" t="str">
        <f>IFERROR(__xludf.DUMMYFUNCTION("""COMPUTED_VALUE"""),"new_page")</f>
        <v>new_page</v>
      </c>
      <c r="E732" s="1">
        <f>IFERROR(__xludf.DUMMYFUNCTION("""COMPUTED_VALUE"""),0.0)</f>
        <v>0</v>
      </c>
    </row>
    <row r="733">
      <c r="A733" s="1">
        <f>IFERROR(__xludf.DUMMYFUNCTION("""COMPUTED_VALUE"""),854779.0)</f>
        <v>854779</v>
      </c>
      <c r="B733" s="2">
        <f>IFERROR(__xludf.DUMMYFUNCTION("""COMPUTED_VALUE"""),42755.07250104354)</f>
        <v>42755.0725</v>
      </c>
      <c r="C733" s="1" t="str">
        <f>IFERROR(__xludf.DUMMYFUNCTION("""COMPUTED_VALUE"""),"control")</f>
        <v>control</v>
      </c>
      <c r="D733" s="1" t="str">
        <f>IFERROR(__xludf.DUMMYFUNCTION("""COMPUTED_VALUE"""),"old_page")</f>
        <v>old_page</v>
      </c>
      <c r="E733" s="1">
        <f>IFERROR(__xludf.DUMMYFUNCTION("""COMPUTED_VALUE"""),0.0)</f>
        <v>0</v>
      </c>
    </row>
    <row r="734">
      <c r="A734" s="1">
        <f>IFERROR(__xludf.DUMMYFUNCTION("""COMPUTED_VALUE"""),801868.0)</f>
        <v>801868</v>
      </c>
      <c r="B734" s="2">
        <f>IFERROR(__xludf.DUMMYFUNCTION("""COMPUTED_VALUE"""),42743.055425317034)</f>
        <v>42743.05543</v>
      </c>
      <c r="C734" s="1" t="str">
        <f>IFERROR(__xludf.DUMMYFUNCTION("""COMPUTED_VALUE"""),"control")</f>
        <v>control</v>
      </c>
      <c r="D734" s="1" t="str">
        <f>IFERROR(__xludf.DUMMYFUNCTION("""COMPUTED_VALUE"""),"old_page")</f>
        <v>old_page</v>
      </c>
      <c r="E734" s="1">
        <f>IFERROR(__xludf.DUMMYFUNCTION("""COMPUTED_VALUE"""),0.0)</f>
        <v>0</v>
      </c>
    </row>
    <row r="735">
      <c r="A735" s="1">
        <f>IFERROR(__xludf.DUMMYFUNCTION("""COMPUTED_VALUE"""),671844.0)</f>
        <v>671844</v>
      </c>
      <c r="B735" s="2">
        <f>IFERROR(__xludf.DUMMYFUNCTION("""COMPUTED_VALUE"""),42758.720221672396)</f>
        <v>42758.72022</v>
      </c>
      <c r="C735" s="1" t="str">
        <f>IFERROR(__xludf.DUMMYFUNCTION("""COMPUTED_VALUE"""),"control")</f>
        <v>control</v>
      </c>
      <c r="D735" s="1" t="str">
        <f>IFERROR(__xludf.DUMMYFUNCTION("""COMPUTED_VALUE"""),"old_page")</f>
        <v>old_page</v>
      </c>
      <c r="E735" s="1">
        <f>IFERROR(__xludf.DUMMYFUNCTION("""COMPUTED_VALUE"""),0.0)</f>
        <v>0</v>
      </c>
    </row>
    <row r="736">
      <c r="A736" s="1">
        <f>IFERROR(__xludf.DUMMYFUNCTION("""COMPUTED_VALUE"""),708346.0)</f>
        <v>708346</v>
      </c>
      <c r="B736" s="2">
        <f>IFERROR(__xludf.DUMMYFUNCTION("""COMPUTED_VALUE"""),42744.91882852587)</f>
        <v>42744.91883</v>
      </c>
      <c r="C736" s="1" t="str">
        <f>IFERROR(__xludf.DUMMYFUNCTION("""COMPUTED_VALUE"""),"control")</f>
        <v>control</v>
      </c>
      <c r="D736" s="1" t="str">
        <f>IFERROR(__xludf.DUMMYFUNCTION("""COMPUTED_VALUE"""),"old_page")</f>
        <v>old_page</v>
      </c>
      <c r="E736" s="1">
        <f>IFERROR(__xludf.DUMMYFUNCTION("""COMPUTED_VALUE"""),0.0)</f>
        <v>0</v>
      </c>
    </row>
    <row r="737">
      <c r="A737" s="1">
        <f>IFERROR(__xludf.DUMMYFUNCTION("""COMPUTED_VALUE"""),792671.0)</f>
        <v>792671</v>
      </c>
      <c r="B737" s="2">
        <f>IFERROR(__xludf.DUMMYFUNCTION("""COMPUTED_VALUE"""),42750.93942639787)</f>
        <v>42750.93943</v>
      </c>
      <c r="C737" s="1" t="str">
        <f>IFERROR(__xludf.DUMMYFUNCTION("""COMPUTED_VALUE"""),"treatment")</f>
        <v>treatment</v>
      </c>
      <c r="D737" s="1" t="str">
        <f>IFERROR(__xludf.DUMMYFUNCTION("""COMPUTED_VALUE"""),"new_page")</f>
        <v>new_page</v>
      </c>
      <c r="E737" s="1">
        <f>IFERROR(__xludf.DUMMYFUNCTION("""COMPUTED_VALUE"""),0.0)</f>
        <v>0</v>
      </c>
    </row>
    <row r="738">
      <c r="A738" s="1">
        <f>IFERROR(__xludf.DUMMYFUNCTION("""COMPUTED_VALUE"""),753592.0)</f>
        <v>753592</v>
      </c>
      <c r="B738" s="2">
        <f>IFERROR(__xludf.DUMMYFUNCTION("""COMPUTED_VALUE"""),42746.00028671054)</f>
        <v>42746.00029</v>
      </c>
      <c r="C738" s="1" t="str">
        <f>IFERROR(__xludf.DUMMYFUNCTION("""COMPUTED_VALUE"""),"control")</f>
        <v>control</v>
      </c>
      <c r="D738" s="1" t="str">
        <f>IFERROR(__xludf.DUMMYFUNCTION("""COMPUTED_VALUE"""),"old_page")</f>
        <v>old_page</v>
      </c>
      <c r="E738" s="1">
        <f>IFERROR(__xludf.DUMMYFUNCTION("""COMPUTED_VALUE"""),0.0)</f>
        <v>0</v>
      </c>
    </row>
    <row r="739">
      <c r="A739" s="1">
        <f>IFERROR(__xludf.DUMMYFUNCTION("""COMPUTED_VALUE"""),665641.0)</f>
        <v>665641</v>
      </c>
      <c r="B739" s="2">
        <f>IFERROR(__xludf.DUMMYFUNCTION("""COMPUTED_VALUE"""),42741.17132455668)</f>
        <v>42741.17132</v>
      </c>
      <c r="C739" s="1" t="str">
        <f>IFERROR(__xludf.DUMMYFUNCTION("""COMPUTED_VALUE"""),"treatment")</f>
        <v>treatment</v>
      </c>
      <c r="D739" s="1" t="str">
        <f>IFERROR(__xludf.DUMMYFUNCTION("""COMPUTED_VALUE"""),"new_page")</f>
        <v>new_page</v>
      </c>
      <c r="E739" s="1">
        <f>IFERROR(__xludf.DUMMYFUNCTION("""COMPUTED_VALUE"""),0.0)</f>
        <v>0</v>
      </c>
    </row>
    <row r="740">
      <c r="A740" s="1">
        <f>IFERROR(__xludf.DUMMYFUNCTION("""COMPUTED_VALUE"""),760220.0)</f>
        <v>760220</v>
      </c>
      <c r="B740" s="2">
        <f>IFERROR(__xludf.DUMMYFUNCTION("""COMPUTED_VALUE"""),42743.470235573855)</f>
        <v>42743.47024</v>
      </c>
      <c r="C740" s="1" t="str">
        <f>IFERROR(__xludf.DUMMYFUNCTION("""COMPUTED_VALUE"""),"control")</f>
        <v>control</v>
      </c>
      <c r="D740" s="1" t="str">
        <f>IFERROR(__xludf.DUMMYFUNCTION("""COMPUTED_VALUE"""),"old_page")</f>
        <v>old_page</v>
      </c>
      <c r="E740" s="1">
        <f>IFERROR(__xludf.DUMMYFUNCTION("""COMPUTED_VALUE"""),0.0)</f>
        <v>0</v>
      </c>
    </row>
    <row r="741">
      <c r="A741" s="1">
        <f>IFERROR(__xludf.DUMMYFUNCTION("""COMPUTED_VALUE"""),777585.0)</f>
        <v>777585</v>
      </c>
      <c r="B741" s="2">
        <f>IFERROR(__xludf.DUMMYFUNCTION("""COMPUTED_VALUE"""),42753.51425058351)</f>
        <v>42753.51425</v>
      </c>
      <c r="C741" s="1" t="str">
        <f>IFERROR(__xludf.DUMMYFUNCTION("""COMPUTED_VALUE"""),"treatment")</f>
        <v>treatment</v>
      </c>
      <c r="D741" s="1" t="str">
        <f>IFERROR(__xludf.DUMMYFUNCTION("""COMPUTED_VALUE"""),"new_page")</f>
        <v>new_page</v>
      </c>
      <c r="E741" s="1">
        <f>IFERROR(__xludf.DUMMYFUNCTION("""COMPUTED_VALUE"""),1.0)</f>
        <v>1</v>
      </c>
    </row>
    <row r="742">
      <c r="A742" s="1">
        <f>IFERROR(__xludf.DUMMYFUNCTION("""COMPUTED_VALUE"""),884476.0)</f>
        <v>884476</v>
      </c>
      <c r="B742" s="2">
        <f>IFERROR(__xludf.DUMMYFUNCTION("""COMPUTED_VALUE"""),42752.85843625732)</f>
        <v>42752.85844</v>
      </c>
      <c r="C742" s="1" t="str">
        <f>IFERROR(__xludf.DUMMYFUNCTION("""COMPUTED_VALUE"""),"control")</f>
        <v>control</v>
      </c>
      <c r="D742" s="1" t="str">
        <f>IFERROR(__xludf.DUMMYFUNCTION("""COMPUTED_VALUE"""),"old_page")</f>
        <v>old_page</v>
      </c>
      <c r="E742" s="1">
        <f>IFERROR(__xludf.DUMMYFUNCTION("""COMPUTED_VALUE"""),0.0)</f>
        <v>0</v>
      </c>
    </row>
    <row r="743">
      <c r="A743" s="1">
        <f>IFERROR(__xludf.DUMMYFUNCTION("""COMPUTED_VALUE"""),799781.0)</f>
        <v>799781</v>
      </c>
      <c r="B743" s="2">
        <f>IFERROR(__xludf.DUMMYFUNCTION("""COMPUTED_VALUE"""),42751.21614542947)</f>
        <v>42751.21615</v>
      </c>
      <c r="C743" s="1" t="str">
        <f>IFERROR(__xludf.DUMMYFUNCTION("""COMPUTED_VALUE"""),"control")</f>
        <v>control</v>
      </c>
      <c r="D743" s="1" t="str">
        <f>IFERROR(__xludf.DUMMYFUNCTION("""COMPUTED_VALUE"""),"old_page")</f>
        <v>old_page</v>
      </c>
      <c r="E743" s="1">
        <f>IFERROR(__xludf.DUMMYFUNCTION("""COMPUTED_VALUE"""),0.0)</f>
        <v>0</v>
      </c>
    </row>
    <row r="744">
      <c r="A744" s="1">
        <f>IFERROR(__xludf.DUMMYFUNCTION("""COMPUTED_VALUE"""),697061.0)</f>
        <v>697061</v>
      </c>
      <c r="B744" s="2">
        <f>IFERROR(__xludf.DUMMYFUNCTION("""COMPUTED_VALUE"""),42754.41170264503)</f>
        <v>42754.4117</v>
      </c>
      <c r="C744" s="1" t="str">
        <f>IFERROR(__xludf.DUMMYFUNCTION("""COMPUTED_VALUE"""),"treatment")</f>
        <v>treatment</v>
      </c>
      <c r="D744" s="1" t="str">
        <f>IFERROR(__xludf.DUMMYFUNCTION("""COMPUTED_VALUE"""),"new_page")</f>
        <v>new_page</v>
      </c>
      <c r="E744" s="1">
        <f>IFERROR(__xludf.DUMMYFUNCTION("""COMPUTED_VALUE"""),0.0)</f>
        <v>0</v>
      </c>
    </row>
    <row r="745">
      <c r="A745" s="1">
        <f>IFERROR(__xludf.DUMMYFUNCTION("""COMPUTED_VALUE"""),647875.0)</f>
        <v>647875</v>
      </c>
      <c r="B745" s="2">
        <f>IFERROR(__xludf.DUMMYFUNCTION("""COMPUTED_VALUE"""),42749.15735063207)</f>
        <v>42749.15735</v>
      </c>
      <c r="C745" s="1" t="str">
        <f>IFERROR(__xludf.DUMMYFUNCTION("""COMPUTED_VALUE"""),"treatment")</f>
        <v>treatment</v>
      </c>
      <c r="D745" s="1" t="str">
        <f>IFERROR(__xludf.DUMMYFUNCTION("""COMPUTED_VALUE"""),"new_page")</f>
        <v>new_page</v>
      </c>
      <c r="E745" s="1">
        <f>IFERROR(__xludf.DUMMYFUNCTION("""COMPUTED_VALUE"""),0.0)</f>
        <v>0</v>
      </c>
    </row>
    <row r="746">
      <c r="A746" s="1">
        <f>IFERROR(__xludf.DUMMYFUNCTION("""COMPUTED_VALUE"""),787813.0)</f>
        <v>787813</v>
      </c>
      <c r="B746" s="2">
        <f>IFERROR(__xludf.DUMMYFUNCTION("""COMPUTED_VALUE"""),42746.97042289433)</f>
        <v>42746.97042</v>
      </c>
      <c r="C746" s="1" t="str">
        <f>IFERROR(__xludf.DUMMYFUNCTION("""COMPUTED_VALUE"""),"control")</f>
        <v>control</v>
      </c>
      <c r="D746" s="1" t="str">
        <f>IFERROR(__xludf.DUMMYFUNCTION("""COMPUTED_VALUE"""),"old_page")</f>
        <v>old_page</v>
      </c>
      <c r="E746" s="1">
        <f>IFERROR(__xludf.DUMMYFUNCTION("""COMPUTED_VALUE"""),0.0)</f>
        <v>0</v>
      </c>
    </row>
    <row r="747">
      <c r="A747" s="1">
        <f>IFERROR(__xludf.DUMMYFUNCTION("""COMPUTED_VALUE"""),759775.0)</f>
        <v>759775</v>
      </c>
      <c r="B747" s="2">
        <f>IFERROR(__xludf.DUMMYFUNCTION("""COMPUTED_VALUE"""),42745.503019588956)</f>
        <v>42745.50302</v>
      </c>
      <c r="C747" s="1" t="str">
        <f>IFERROR(__xludf.DUMMYFUNCTION("""COMPUTED_VALUE"""),"control")</f>
        <v>control</v>
      </c>
      <c r="D747" s="1" t="str">
        <f>IFERROR(__xludf.DUMMYFUNCTION("""COMPUTED_VALUE"""),"old_page")</f>
        <v>old_page</v>
      </c>
      <c r="E747" s="1">
        <f>IFERROR(__xludf.DUMMYFUNCTION("""COMPUTED_VALUE"""),1.0)</f>
        <v>1</v>
      </c>
    </row>
    <row r="748">
      <c r="A748" s="1">
        <f>IFERROR(__xludf.DUMMYFUNCTION("""COMPUTED_VALUE"""),843552.0)</f>
        <v>843552</v>
      </c>
      <c r="B748" s="2">
        <f>IFERROR(__xludf.DUMMYFUNCTION("""COMPUTED_VALUE"""),42738.03346539081)</f>
        <v>42738.03347</v>
      </c>
      <c r="C748" s="1" t="str">
        <f>IFERROR(__xludf.DUMMYFUNCTION("""COMPUTED_VALUE"""),"treatment")</f>
        <v>treatment</v>
      </c>
      <c r="D748" s="1" t="str">
        <f>IFERROR(__xludf.DUMMYFUNCTION("""COMPUTED_VALUE"""),"new_page")</f>
        <v>new_page</v>
      </c>
      <c r="E748" s="1">
        <f>IFERROR(__xludf.DUMMYFUNCTION("""COMPUTED_VALUE"""),0.0)</f>
        <v>0</v>
      </c>
    </row>
    <row r="749">
      <c r="A749" s="1">
        <f>IFERROR(__xludf.DUMMYFUNCTION("""COMPUTED_VALUE"""),680729.0)</f>
        <v>680729</v>
      </c>
      <c r="B749" s="2">
        <f>IFERROR(__xludf.DUMMYFUNCTION("""COMPUTED_VALUE"""),42757.358990782115)</f>
        <v>42757.35899</v>
      </c>
      <c r="C749" s="1" t="str">
        <f>IFERROR(__xludf.DUMMYFUNCTION("""COMPUTED_VALUE"""),"control")</f>
        <v>control</v>
      </c>
      <c r="D749" s="1" t="str">
        <f>IFERROR(__xludf.DUMMYFUNCTION("""COMPUTED_VALUE"""),"old_page")</f>
        <v>old_page</v>
      </c>
      <c r="E749" s="1">
        <f>IFERROR(__xludf.DUMMYFUNCTION("""COMPUTED_VALUE"""),0.0)</f>
        <v>0</v>
      </c>
    </row>
    <row r="750">
      <c r="A750" s="1">
        <f>IFERROR(__xludf.DUMMYFUNCTION("""COMPUTED_VALUE"""),690701.0)</f>
        <v>690701</v>
      </c>
      <c r="B750" s="2">
        <f>IFERROR(__xludf.DUMMYFUNCTION("""COMPUTED_VALUE"""),42748.295580523925)</f>
        <v>42748.29558</v>
      </c>
      <c r="C750" s="1" t="str">
        <f>IFERROR(__xludf.DUMMYFUNCTION("""COMPUTED_VALUE"""),"control")</f>
        <v>control</v>
      </c>
      <c r="D750" s="1" t="str">
        <f>IFERROR(__xludf.DUMMYFUNCTION("""COMPUTED_VALUE"""),"old_page")</f>
        <v>old_page</v>
      </c>
      <c r="E750" s="1">
        <f>IFERROR(__xludf.DUMMYFUNCTION("""COMPUTED_VALUE"""),1.0)</f>
        <v>1</v>
      </c>
    </row>
    <row r="751">
      <c r="A751" s="1">
        <f>IFERROR(__xludf.DUMMYFUNCTION("""COMPUTED_VALUE"""),744314.0)</f>
        <v>744314</v>
      </c>
      <c r="B751" s="2">
        <f>IFERROR(__xludf.DUMMYFUNCTION("""COMPUTED_VALUE"""),42748.67389092593)</f>
        <v>42748.67389</v>
      </c>
      <c r="C751" s="1" t="str">
        <f>IFERROR(__xludf.DUMMYFUNCTION("""COMPUTED_VALUE"""),"control")</f>
        <v>control</v>
      </c>
      <c r="D751" s="1" t="str">
        <f>IFERROR(__xludf.DUMMYFUNCTION("""COMPUTED_VALUE"""),"old_page")</f>
        <v>old_page</v>
      </c>
      <c r="E751" s="1">
        <f>IFERROR(__xludf.DUMMYFUNCTION("""COMPUTED_VALUE"""),0.0)</f>
        <v>0</v>
      </c>
    </row>
    <row r="752">
      <c r="A752" s="1">
        <f>IFERROR(__xludf.DUMMYFUNCTION("""COMPUTED_VALUE"""),882259.0)</f>
        <v>882259</v>
      </c>
      <c r="B752" s="2">
        <f>IFERROR(__xludf.DUMMYFUNCTION("""COMPUTED_VALUE"""),42752.40836117079)</f>
        <v>42752.40836</v>
      </c>
      <c r="C752" s="1" t="str">
        <f>IFERROR(__xludf.DUMMYFUNCTION("""COMPUTED_VALUE"""),"treatment")</f>
        <v>treatment</v>
      </c>
      <c r="D752" s="1" t="str">
        <f>IFERROR(__xludf.DUMMYFUNCTION("""COMPUTED_VALUE"""),"new_page")</f>
        <v>new_page</v>
      </c>
      <c r="E752" s="1">
        <f>IFERROR(__xludf.DUMMYFUNCTION("""COMPUTED_VALUE"""),0.0)</f>
        <v>0</v>
      </c>
    </row>
    <row r="753">
      <c r="A753" s="1">
        <f>IFERROR(__xludf.DUMMYFUNCTION("""COMPUTED_VALUE"""),929291.0)</f>
        <v>929291</v>
      </c>
      <c r="B753" s="2">
        <f>IFERROR(__xludf.DUMMYFUNCTION("""COMPUTED_VALUE"""),42738.812600529986)</f>
        <v>42738.8126</v>
      </c>
      <c r="C753" s="1" t="str">
        <f>IFERROR(__xludf.DUMMYFUNCTION("""COMPUTED_VALUE"""),"treatment")</f>
        <v>treatment</v>
      </c>
      <c r="D753" s="1" t="str">
        <f>IFERROR(__xludf.DUMMYFUNCTION("""COMPUTED_VALUE"""),"new_page")</f>
        <v>new_page</v>
      </c>
      <c r="E753" s="1">
        <f>IFERROR(__xludf.DUMMYFUNCTION("""COMPUTED_VALUE"""),0.0)</f>
        <v>0</v>
      </c>
    </row>
    <row r="754">
      <c r="A754" s="1">
        <f>IFERROR(__xludf.DUMMYFUNCTION("""COMPUTED_VALUE"""),877391.0)</f>
        <v>877391</v>
      </c>
      <c r="B754" s="2">
        <f>IFERROR(__xludf.DUMMYFUNCTION("""COMPUTED_VALUE"""),42739.843544455674)</f>
        <v>42739.84354</v>
      </c>
      <c r="C754" s="1" t="str">
        <f>IFERROR(__xludf.DUMMYFUNCTION("""COMPUTED_VALUE"""),"treatment")</f>
        <v>treatment</v>
      </c>
      <c r="D754" s="1" t="str">
        <f>IFERROR(__xludf.DUMMYFUNCTION("""COMPUTED_VALUE"""),"new_page")</f>
        <v>new_page</v>
      </c>
      <c r="E754" s="1">
        <f>IFERROR(__xludf.DUMMYFUNCTION("""COMPUTED_VALUE"""),0.0)</f>
        <v>0</v>
      </c>
    </row>
    <row r="755">
      <c r="A755" s="1">
        <f>IFERROR(__xludf.DUMMYFUNCTION("""COMPUTED_VALUE"""),646066.0)</f>
        <v>646066</v>
      </c>
      <c r="B755" s="2">
        <f>IFERROR(__xludf.DUMMYFUNCTION("""COMPUTED_VALUE"""),42739.79501647643)</f>
        <v>42739.79502</v>
      </c>
      <c r="C755" s="1" t="str">
        <f>IFERROR(__xludf.DUMMYFUNCTION("""COMPUTED_VALUE"""),"treatment")</f>
        <v>treatment</v>
      </c>
      <c r="D755" s="1" t="str">
        <f>IFERROR(__xludf.DUMMYFUNCTION("""COMPUTED_VALUE"""),"new_page")</f>
        <v>new_page</v>
      </c>
      <c r="E755" s="1">
        <f>IFERROR(__xludf.DUMMYFUNCTION("""COMPUTED_VALUE"""),1.0)</f>
        <v>1</v>
      </c>
    </row>
    <row r="756">
      <c r="A756" s="1">
        <f>IFERROR(__xludf.DUMMYFUNCTION("""COMPUTED_VALUE"""),654955.0)</f>
        <v>654955</v>
      </c>
      <c r="B756" s="2">
        <f>IFERROR(__xludf.DUMMYFUNCTION("""COMPUTED_VALUE"""),42759.30536139368)</f>
        <v>42759.30536</v>
      </c>
      <c r="C756" s="1" t="str">
        <f>IFERROR(__xludf.DUMMYFUNCTION("""COMPUTED_VALUE"""),"control")</f>
        <v>control</v>
      </c>
      <c r="D756" s="1" t="str">
        <f>IFERROR(__xludf.DUMMYFUNCTION("""COMPUTED_VALUE"""),"old_page")</f>
        <v>old_page</v>
      </c>
      <c r="E756" s="1">
        <f>IFERROR(__xludf.DUMMYFUNCTION("""COMPUTED_VALUE"""),0.0)</f>
        <v>0</v>
      </c>
    </row>
    <row r="757">
      <c r="A757" s="1">
        <f>IFERROR(__xludf.DUMMYFUNCTION("""COMPUTED_VALUE"""),676019.0)</f>
        <v>676019</v>
      </c>
      <c r="B757" s="2">
        <f>IFERROR(__xludf.DUMMYFUNCTION("""COMPUTED_VALUE"""),42753.473166440315)</f>
        <v>42753.47317</v>
      </c>
      <c r="C757" s="1" t="str">
        <f>IFERROR(__xludf.DUMMYFUNCTION("""COMPUTED_VALUE"""),"treatment")</f>
        <v>treatment</v>
      </c>
      <c r="D757" s="1" t="str">
        <f>IFERROR(__xludf.DUMMYFUNCTION("""COMPUTED_VALUE"""),"new_page")</f>
        <v>new_page</v>
      </c>
      <c r="E757" s="1">
        <f>IFERROR(__xludf.DUMMYFUNCTION("""COMPUTED_VALUE"""),0.0)</f>
        <v>0</v>
      </c>
    </row>
    <row r="758">
      <c r="A758" s="1">
        <f>IFERROR(__xludf.DUMMYFUNCTION("""COMPUTED_VALUE"""),652226.0)</f>
        <v>652226</v>
      </c>
      <c r="B758" s="2">
        <f>IFERROR(__xludf.DUMMYFUNCTION("""COMPUTED_VALUE"""),42747.9007359647)</f>
        <v>42747.90074</v>
      </c>
      <c r="C758" s="1" t="str">
        <f>IFERROR(__xludf.DUMMYFUNCTION("""COMPUTED_VALUE"""),"control")</f>
        <v>control</v>
      </c>
      <c r="D758" s="1" t="str">
        <f>IFERROR(__xludf.DUMMYFUNCTION("""COMPUTED_VALUE"""),"old_page")</f>
        <v>old_page</v>
      </c>
      <c r="E758" s="1">
        <f>IFERROR(__xludf.DUMMYFUNCTION("""COMPUTED_VALUE"""),0.0)</f>
        <v>0</v>
      </c>
    </row>
    <row r="759">
      <c r="A759" s="1">
        <f>IFERROR(__xludf.DUMMYFUNCTION("""COMPUTED_VALUE"""),858032.0)</f>
        <v>858032</v>
      </c>
      <c r="B759" s="2">
        <f>IFERROR(__xludf.DUMMYFUNCTION("""COMPUTED_VALUE"""),42742.69975236909)</f>
        <v>42742.69975</v>
      </c>
      <c r="C759" s="1" t="str">
        <f>IFERROR(__xludf.DUMMYFUNCTION("""COMPUTED_VALUE"""),"control")</f>
        <v>control</v>
      </c>
      <c r="D759" s="1" t="str">
        <f>IFERROR(__xludf.DUMMYFUNCTION("""COMPUTED_VALUE"""),"old_page")</f>
        <v>old_page</v>
      </c>
      <c r="E759" s="1">
        <f>IFERROR(__xludf.DUMMYFUNCTION("""COMPUTED_VALUE"""),0.0)</f>
        <v>0</v>
      </c>
    </row>
    <row r="760">
      <c r="A760" s="1">
        <f>IFERROR(__xludf.DUMMYFUNCTION("""COMPUTED_VALUE"""),721686.0)</f>
        <v>721686</v>
      </c>
      <c r="B760" s="2">
        <f>IFERROR(__xludf.DUMMYFUNCTION("""COMPUTED_VALUE"""),42740.68919039345)</f>
        <v>42740.68919</v>
      </c>
      <c r="C760" s="1" t="str">
        <f>IFERROR(__xludf.DUMMYFUNCTION("""COMPUTED_VALUE"""),"control")</f>
        <v>control</v>
      </c>
      <c r="D760" s="1" t="str">
        <f>IFERROR(__xludf.DUMMYFUNCTION("""COMPUTED_VALUE"""),"old_page")</f>
        <v>old_page</v>
      </c>
      <c r="E760" s="1">
        <f>IFERROR(__xludf.DUMMYFUNCTION("""COMPUTED_VALUE"""),0.0)</f>
        <v>0</v>
      </c>
    </row>
    <row r="761">
      <c r="A761" s="1">
        <f>IFERROR(__xludf.DUMMYFUNCTION("""COMPUTED_VALUE"""),910698.0)</f>
        <v>910698</v>
      </c>
      <c r="B761" s="2">
        <f>IFERROR(__xludf.DUMMYFUNCTION("""COMPUTED_VALUE"""),42747.1223727004)</f>
        <v>42747.12237</v>
      </c>
      <c r="C761" s="1" t="str">
        <f>IFERROR(__xludf.DUMMYFUNCTION("""COMPUTED_VALUE"""),"treatment")</f>
        <v>treatment</v>
      </c>
      <c r="D761" s="1" t="str">
        <f>IFERROR(__xludf.DUMMYFUNCTION("""COMPUTED_VALUE"""),"new_page")</f>
        <v>new_page</v>
      </c>
      <c r="E761" s="1">
        <f>IFERROR(__xludf.DUMMYFUNCTION("""COMPUTED_VALUE"""),0.0)</f>
        <v>0</v>
      </c>
    </row>
    <row r="762">
      <c r="A762" s="1">
        <f>IFERROR(__xludf.DUMMYFUNCTION("""COMPUTED_VALUE"""),677203.0)</f>
        <v>677203</v>
      </c>
      <c r="B762" s="2">
        <f>IFERROR(__xludf.DUMMYFUNCTION("""COMPUTED_VALUE"""),42758.57677887481)</f>
        <v>42758.57678</v>
      </c>
      <c r="C762" s="1" t="str">
        <f>IFERROR(__xludf.DUMMYFUNCTION("""COMPUTED_VALUE"""),"treatment")</f>
        <v>treatment</v>
      </c>
      <c r="D762" s="1" t="str">
        <f>IFERROR(__xludf.DUMMYFUNCTION("""COMPUTED_VALUE"""),"new_page")</f>
        <v>new_page</v>
      </c>
      <c r="E762" s="1">
        <f>IFERROR(__xludf.DUMMYFUNCTION("""COMPUTED_VALUE"""),1.0)</f>
        <v>1</v>
      </c>
    </row>
    <row r="763">
      <c r="A763" s="1">
        <f>IFERROR(__xludf.DUMMYFUNCTION("""COMPUTED_VALUE"""),675370.0)</f>
        <v>675370</v>
      </c>
      <c r="B763" s="2">
        <f>IFERROR(__xludf.DUMMYFUNCTION("""COMPUTED_VALUE"""),42759.4430544653)</f>
        <v>42759.44305</v>
      </c>
      <c r="C763" s="1" t="str">
        <f>IFERROR(__xludf.DUMMYFUNCTION("""COMPUTED_VALUE"""),"treatment")</f>
        <v>treatment</v>
      </c>
      <c r="D763" s="1" t="str">
        <f>IFERROR(__xludf.DUMMYFUNCTION("""COMPUTED_VALUE"""),"new_page")</f>
        <v>new_page</v>
      </c>
      <c r="E763" s="1">
        <f>IFERROR(__xludf.DUMMYFUNCTION("""COMPUTED_VALUE"""),0.0)</f>
        <v>0</v>
      </c>
    </row>
    <row r="764">
      <c r="A764" s="1">
        <f>IFERROR(__xludf.DUMMYFUNCTION("""COMPUTED_VALUE"""),714570.0)</f>
        <v>714570</v>
      </c>
      <c r="B764" s="2">
        <f>IFERROR(__xludf.DUMMYFUNCTION("""COMPUTED_VALUE"""),42738.59528018137)</f>
        <v>42738.59528</v>
      </c>
      <c r="C764" s="1" t="str">
        <f>IFERROR(__xludf.DUMMYFUNCTION("""COMPUTED_VALUE"""),"control")</f>
        <v>control</v>
      </c>
      <c r="D764" s="1" t="str">
        <f>IFERROR(__xludf.DUMMYFUNCTION("""COMPUTED_VALUE"""),"old_page")</f>
        <v>old_page</v>
      </c>
      <c r="E764" s="1">
        <f>IFERROR(__xludf.DUMMYFUNCTION("""COMPUTED_VALUE"""),0.0)</f>
        <v>0</v>
      </c>
    </row>
    <row r="765">
      <c r="A765" s="1">
        <f>IFERROR(__xludf.DUMMYFUNCTION("""COMPUTED_VALUE"""),727214.0)</f>
        <v>727214</v>
      </c>
      <c r="B765" s="2">
        <f>IFERROR(__xludf.DUMMYFUNCTION("""COMPUTED_VALUE"""),42750.60599496706)</f>
        <v>42750.60599</v>
      </c>
      <c r="C765" s="1" t="str">
        <f>IFERROR(__xludf.DUMMYFUNCTION("""COMPUTED_VALUE"""),"treatment")</f>
        <v>treatment</v>
      </c>
      <c r="D765" s="1" t="str">
        <f>IFERROR(__xludf.DUMMYFUNCTION("""COMPUTED_VALUE"""),"new_page")</f>
        <v>new_page</v>
      </c>
      <c r="E765" s="1">
        <f>IFERROR(__xludf.DUMMYFUNCTION("""COMPUTED_VALUE"""),0.0)</f>
        <v>0</v>
      </c>
    </row>
    <row r="766">
      <c r="A766" s="1">
        <f>IFERROR(__xludf.DUMMYFUNCTION("""COMPUTED_VALUE"""),787643.0)</f>
        <v>787643</v>
      </c>
      <c r="B766" s="2">
        <f>IFERROR(__xludf.DUMMYFUNCTION("""COMPUTED_VALUE"""),42756.259066734245)</f>
        <v>42756.25907</v>
      </c>
      <c r="C766" s="1" t="str">
        <f>IFERROR(__xludf.DUMMYFUNCTION("""COMPUTED_VALUE"""),"control")</f>
        <v>control</v>
      </c>
      <c r="D766" s="1" t="str">
        <f>IFERROR(__xludf.DUMMYFUNCTION("""COMPUTED_VALUE"""),"old_page")</f>
        <v>old_page</v>
      </c>
      <c r="E766" s="1">
        <f>IFERROR(__xludf.DUMMYFUNCTION("""COMPUTED_VALUE"""),0.0)</f>
        <v>0</v>
      </c>
    </row>
    <row r="767">
      <c r="A767" s="1">
        <f>IFERROR(__xludf.DUMMYFUNCTION("""COMPUTED_VALUE"""),935227.0)</f>
        <v>935227</v>
      </c>
      <c r="B767" s="2">
        <f>IFERROR(__xludf.DUMMYFUNCTION("""COMPUTED_VALUE"""),42753.62917379602)</f>
        <v>42753.62917</v>
      </c>
      <c r="C767" s="1" t="str">
        <f>IFERROR(__xludf.DUMMYFUNCTION("""COMPUTED_VALUE"""),"control")</f>
        <v>control</v>
      </c>
      <c r="D767" s="1" t="str">
        <f>IFERROR(__xludf.DUMMYFUNCTION("""COMPUTED_VALUE"""),"old_page")</f>
        <v>old_page</v>
      </c>
      <c r="E767" s="1">
        <f>IFERROR(__xludf.DUMMYFUNCTION("""COMPUTED_VALUE"""),0.0)</f>
        <v>0</v>
      </c>
    </row>
    <row r="768">
      <c r="A768" s="1">
        <f>IFERROR(__xludf.DUMMYFUNCTION("""COMPUTED_VALUE"""),750542.0)</f>
        <v>750542</v>
      </c>
      <c r="B768" s="2">
        <f>IFERROR(__xludf.DUMMYFUNCTION("""COMPUTED_VALUE"""),42741.17045900653)</f>
        <v>42741.17046</v>
      </c>
      <c r="C768" s="1" t="str">
        <f>IFERROR(__xludf.DUMMYFUNCTION("""COMPUTED_VALUE"""),"control")</f>
        <v>control</v>
      </c>
      <c r="D768" s="1" t="str">
        <f>IFERROR(__xludf.DUMMYFUNCTION("""COMPUTED_VALUE"""),"old_page")</f>
        <v>old_page</v>
      </c>
      <c r="E768" s="1">
        <f>IFERROR(__xludf.DUMMYFUNCTION("""COMPUTED_VALUE"""),0.0)</f>
        <v>0</v>
      </c>
    </row>
    <row r="769">
      <c r="A769" s="1">
        <f>IFERROR(__xludf.DUMMYFUNCTION("""COMPUTED_VALUE"""),906968.0)</f>
        <v>906968</v>
      </c>
      <c r="B769" s="2">
        <f>IFERROR(__xludf.DUMMYFUNCTION("""COMPUTED_VALUE"""),42746.88112330941)</f>
        <v>42746.88112</v>
      </c>
      <c r="C769" s="1" t="str">
        <f>IFERROR(__xludf.DUMMYFUNCTION("""COMPUTED_VALUE"""),"treatment")</f>
        <v>treatment</v>
      </c>
      <c r="D769" s="1" t="str">
        <f>IFERROR(__xludf.DUMMYFUNCTION("""COMPUTED_VALUE"""),"new_page")</f>
        <v>new_page</v>
      </c>
      <c r="E769" s="1">
        <f>IFERROR(__xludf.DUMMYFUNCTION("""COMPUTED_VALUE"""),0.0)</f>
        <v>0</v>
      </c>
    </row>
    <row r="770">
      <c r="A770" s="1">
        <f>IFERROR(__xludf.DUMMYFUNCTION("""COMPUTED_VALUE"""),911667.0)</f>
        <v>911667</v>
      </c>
      <c r="B770" s="2">
        <f>IFERROR(__xludf.DUMMYFUNCTION("""COMPUTED_VALUE"""),42747.56431005553)</f>
        <v>42747.56431</v>
      </c>
      <c r="C770" s="1" t="str">
        <f>IFERROR(__xludf.DUMMYFUNCTION("""COMPUTED_VALUE"""),"treatment")</f>
        <v>treatment</v>
      </c>
      <c r="D770" s="1" t="str">
        <f>IFERROR(__xludf.DUMMYFUNCTION("""COMPUTED_VALUE"""),"new_page")</f>
        <v>new_page</v>
      </c>
      <c r="E770" s="1">
        <f>IFERROR(__xludf.DUMMYFUNCTION("""COMPUTED_VALUE"""),1.0)</f>
        <v>1</v>
      </c>
    </row>
    <row r="771">
      <c r="A771" s="1">
        <f>IFERROR(__xludf.DUMMYFUNCTION("""COMPUTED_VALUE"""),866414.0)</f>
        <v>866414</v>
      </c>
      <c r="B771" s="2">
        <f>IFERROR(__xludf.DUMMYFUNCTION("""COMPUTED_VALUE"""),42750.89463194358)</f>
        <v>42750.89463</v>
      </c>
      <c r="C771" s="1" t="str">
        <f>IFERROR(__xludf.DUMMYFUNCTION("""COMPUTED_VALUE"""),"treatment")</f>
        <v>treatment</v>
      </c>
      <c r="D771" s="1" t="str">
        <f>IFERROR(__xludf.DUMMYFUNCTION("""COMPUTED_VALUE"""),"new_page")</f>
        <v>new_page</v>
      </c>
      <c r="E771" s="1">
        <f>IFERROR(__xludf.DUMMYFUNCTION("""COMPUTED_VALUE"""),0.0)</f>
        <v>0</v>
      </c>
    </row>
    <row r="772">
      <c r="A772" s="1">
        <f>IFERROR(__xludf.DUMMYFUNCTION("""COMPUTED_VALUE"""),750650.0)</f>
        <v>750650</v>
      </c>
      <c r="B772" s="2">
        <f>IFERROR(__xludf.DUMMYFUNCTION("""COMPUTED_VALUE"""),42745.015534100276)</f>
        <v>42745.01553</v>
      </c>
      <c r="C772" s="1" t="str">
        <f>IFERROR(__xludf.DUMMYFUNCTION("""COMPUTED_VALUE"""),"control")</f>
        <v>control</v>
      </c>
      <c r="D772" s="1" t="str">
        <f>IFERROR(__xludf.DUMMYFUNCTION("""COMPUTED_VALUE"""),"old_page")</f>
        <v>old_page</v>
      </c>
      <c r="E772" s="1">
        <f>IFERROR(__xludf.DUMMYFUNCTION("""COMPUTED_VALUE"""),0.0)</f>
        <v>0</v>
      </c>
    </row>
    <row r="773">
      <c r="A773" s="1">
        <f>IFERROR(__xludf.DUMMYFUNCTION("""COMPUTED_VALUE"""),922150.0)</f>
        <v>922150</v>
      </c>
      <c r="B773" s="2">
        <f>IFERROR(__xludf.DUMMYFUNCTION("""COMPUTED_VALUE"""),42745.419493516194)</f>
        <v>42745.41949</v>
      </c>
      <c r="C773" s="1" t="str">
        <f>IFERROR(__xludf.DUMMYFUNCTION("""COMPUTED_VALUE"""),"treatment")</f>
        <v>treatment</v>
      </c>
      <c r="D773" s="1" t="str">
        <f>IFERROR(__xludf.DUMMYFUNCTION("""COMPUTED_VALUE"""),"new_page")</f>
        <v>new_page</v>
      </c>
      <c r="E773" s="1">
        <f>IFERROR(__xludf.DUMMYFUNCTION("""COMPUTED_VALUE"""),0.0)</f>
        <v>0</v>
      </c>
    </row>
    <row r="774">
      <c r="A774" s="1">
        <f>IFERROR(__xludf.DUMMYFUNCTION("""COMPUTED_VALUE"""),858175.0)</f>
        <v>858175</v>
      </c>
      <c r="B774" s="2">
        <f>IFERROR(__xludf.DUMMYFUNCTION("""COMPUTED_VALUE"""),42745.59824542395)</f>
        <v>42745.59825</v>
      </c>
      <c r="C774" s="1" t="str">
        <f>IFERROR(__xludf.DUMMYFUNCTION("""COMPUTED_VALUE"""),"control")</f>
        <v>control</v>
      </c>
      <c r="D774" s="1" t="str">
        <f>IFERROR(__xludf.DUMMYFUNCTION("""COMPUTED_VALUE"""),"old_page")</f>
        <v>old_page</v>
      </c>
      <c r="E774" s="1">
        <f>IFERROR(__xludf.DUMMYFUNCTION("""COMPUTED_VALUE"""),0.0)</f>
        <v>0</v>
      </c>
    </row>
    <row r="775">
      <c r="A775" s="1">
        <f>IFERROR(__xludf.DUMMYFUNCTION("""COMPUTED_VALUE"""),891768.0)</f>
        <v>891768</v>
      </c>
      <c r="B775" s="2">
        <f>IFERROR(__xludf.DUMMYFUNCTION("""COMPUTED_VALUE"""),42758.125782655625)</f>
        <v>42758.12578</v>
      </c>
      <c r="C775" s="1" t="str">
        <f>IFERROR(__xludf.DUMMYFUNCTION("""COMPUTED_VALUE"""),"treatment")</f>
        <v>treatment</v>
      </c>
      <c r="D775" s="1" t="str">
        <f>IFERROR(__xludf.DUMMYFUNCTION("""COMPUTED_VALUE"""),"new_page")</f>
        <v>new_page</v>
      </c>
      <c r="E775" s="1">
        <f>IFERROR(__xludf.DUMMYFUNCTION("""COMPUTED_VALUE"""),1.0)</f>
        <v>1</v>
      </c>
    </row>
    <row r="776">
      <c r="A776" s="1">
        <f>IFERROR(__xludf.DUMMYFUNCTION("""COMPUTED_VALUE"""),864223.0)</f>
        <v>864223</v>
      </c>
      <c r="B776" s="2">
        <f>IFERROR(__xludf.DUMMYFUNCTION("""COMPUTED_VALUE"""),42738.781292109685)</f>
        <v>42738.78129</v>
      </c>
      <c r="C776" s="1" t="str">
        <f>IFERROR(__xludf.DUMMYFUNCTION("""COMPUTED_VALUE"""),"treatment")</f>
        <v>treatment</v>
      </c>
      <c r="D776" s="1" t="str">
        <f>IFERROR(__xludf.DUMMYFUNCTION("""COMPUTED_VALUE"""),"new_page")</f>
        <v>new_page</v>
      </c>
      <c r="E776" s="1">
        <f>IFERROR(__xludf.DUMMYFUNCTION("""COMPUTED_VALUE"""),0.0)</f>
        <v>0</v>
      </c>
    </row>
    <row r="777">
      <c r="A777" s="1">
        <f>IFERROR(__xludf.DUMMYFUNCTION("""COMPUTED_VALUE"""),846537.0)</f>
        <v>846537</v>
      </c>
      <c r="B777" s="2">
        <f>IFERROR(__xludf.DUMMYFUNCTION("""COMPUTED_VALUE"""),42750.5858316173)</f>
        <v>42750.58583</v>
      </c>
      <c r="C777" s="1" t="str">
        <f>IFERROR(__xludf.DUMMYFUNCTION("""COMPUTED_VALUE"""),"treatment")</f>
        <v>treatment</v>
      </c>
      <c r="D777" s="1" t="str">
        <f>IFERROR(__xludf.DUMMYFUNCTION("""COMPUTED_VALUE"""),"new_page")</f>
        <v>new_page</v>
      </c>
      <c r="E777" s="1">
        <f>IFERROR(__xludf.DUMMYFUNCTION("""COMPUTED_VALUE"""),0.0)</f>
        <v>0</v>
      </c>
    </row>
    <row r="778">
      <c r="A778" s="1">
        <f>IFERROR(__xludf.DUMMYFUNCTION("""COMPUTED_VALUE"""),820951.0)</f>
        <v>820951</v>
      </c>
      <c r="B778" s="2">
        <f>IFERROR(__xludf.DUMMYFUNCTION("""COMPUTED_VALUE"""),42739.113133919294)</f>
        <v>42739.11313</v>
      </c>
      <c r="C778" s="1" t="str">
        <f>IFERROR(__xludf.DUMMYFUNCTION("""COMPUTED_VALUE"""),"treatment")</f>
        <v>treatment</v>
      </c>
      <c r="D778" s="1" t="str">
        <f>IFERROR(__xludf.DUMMYFUNCTION("""COMPUTED_VALUE"""),"old_page")</f>
        <v>old_page</v>
      </c>
      <c r="E778" s="1">
        <f>IFERROR(__xludf.DUMMYFUNCTION("""COMPUTED_VALUE"""),0.0)</f>
        <v>0</v>
      </c>
    </row>
    <row r="779">
      <c r="A779" s="1">
        <f>IFERROR(__xludf.DUMMYFUNCTION("""COMPUTED_VALUE"""),852450.0)</f>
        <v>852450</v>
      </c>
      <c r="B779" s="2">
        <f>IFERROR(__xludf.DUMMYFUNCTION("""COMPUTED_VALUE"""),42743.60795651796)</f>
        <v>42743.60796</v>
      </c>
      <c r="C779" s="1" t="str">
        <f>IFERROR(__xludf.DUMMYFUNCTION("""COMPUTED_VALUE"""),"control")</f>
        <v>control</v>
      </c>
      <c r="D779" s="1" t="str">
        <f>IFERROR(__xludf.DUMMYFUNCTION("""COMPUTED_VALUE"""),"old_page")</f>
        <v>old_page</v>
      </c>
      <c r="E779" s="1">
        <f>IFERROR(__xludf.DUMMYFUNCTION("""COMPUTED_VALUE"""),0.0)</f>
        <v>0</v>
      </c>
    </row>
    <row r="780">
      <c r="A780" s="1">
        <f>IFERROR(__xludf.DUMMYFUNCTION("""COMPUTED_VALUE"""),637191.0)</f>
        <v>637191</v>
      </c>
      <c r="B780" s="2">
        <f>IFERROR(__xludf.DUMMYFUNCTION("""COMPUTED_VALUE"""),42750.59397915141)</f>
        <v>42750.59398</v>
      </c>
      <c r="C780" s="1" t="str">
        <f>IFERROR(__xludf.DUMMYFUNCTION("""COMPUTED_VALUE"""),"treatment")</f>
        <v>treatment</v>
      </c>
      <c r="D780" s="1" t="str">
        <f>IFERROR(__xludf.DUMMYFUNCTION("""COMPUTED_VALUE"""),"new_page")</f>
        <v>new_page</v>
      </c>
      <c r="E780" s="1">
        <f>IFERROR(__xludf.DUMMYFUNCTION("""COMPUTED_VALUE"""),0.0)</f>
        <v>0</v>
      </c>
    </row>
    <row r="781">
      <c r="A781" s="1">
        <f>IFERROR(__xludf.DUMMYFUNCTION("""COMPUTED_VALUE"""),861934.0)</f>
        <v>861934</v>
      </c>
      <c r="B781" s="2">
        <f>IFERROR(__xludf.DUMMYFUNCTION("""COMPUTED_VALUE"""),42738.94636228226)</f>
        <v>42738.94636</v>
      </c>
      <c r="C781" s="1" t="str">
        <f>IFERROR(__xludf.DUMMYFUNCTION("""COMPUTED_VALUE"""),"control")</f>
        <v>control</v>
      </c>
      <c r="D781" s="1" t="str">
        <f>IFERROR(__xludf.DUMMYFUNCTION("""COMPUTED_VALUE"""),"old_page")</f>
        <v>old_page</v>
      </c>
      <c r="E781" s="1">
        <f>IFERROR(__xludf.DUMMYFUNCTION("""COMPUTED_VALUE"""),1.0)</f>
        <v>1</v>
      </c>
    </row>
    <row r="782">
      <c r="A782" s="1">
        <f>IFERROR(__xludf.DUMMYFUNCTION("""COMPUTED_VALUE"""),766529.0)</f>
        <v>766529</v>
      </c>
      <c r="B782" s="2">
        <f>IFERROR(__xludf.DUMMYFUNCTION("""COMPUTED_VALUE"""),42759.29692102823)</f>
        <v>42759.29692</v>
      </c>
      <c r="C782" s="1" t="str">
        <f>IFERROR(__xludf.DUMMYFUNCTION("""COMPUTED_VALUE"""),"control")</f>
        <v>control</v>
      </c>
      <c r="D782" s="1" t="str">
        <f>IFERROR(__xludf.DUMMYFUNCTION("""COMPUTED_VALUE"""),"old_page")</f>
        <v>old_page</v>
      </c>
      <c r="E782" s="1">
        <f>IFERROR(__xludf.DUMMYFUNCTION("""COMPUTED_VALUE"""),1.0)</f>
        <v>1</v>
      </c>
    </row>
    <row r="783">
      <c r="A783" s="1">
        <f>IFERROR(__xludf.DUMMYFUNCTION("""COMPUTED_VALUE"""),777749.0)</f>
        <v>777749</v>
      </c>
      <c r="B783" s="2">
        <f>IFERROR(__xludf.DUMMYFUNCTION("""COMPUTED_VALUE"""),42744.62366544585)</f>
        <v>42744.62367</v>
      </c>
      <c r="C783" s="1" t="str">
        <f>IFERROR(__xludf.DUMMYFUNCTION("""COMPUTED_VALUE"""),"control")</f>
        <v>control</v>
      </c>
      <c r="D783" s="1" t="str">
        <f>IFERROR(__xludf.DUMMYFUNCTION("""COMPUTED_VALUE"""),"old_page")</f>
        <v>old_page</v>
      </c>
      <c r="E783" s="1">
        <f>IFERROR(__xludf.DUMMYFUNCTION("""COMPUTED_VALUE"""),0.0)</f>
        <v>0</v>
      </c>
    </row>
    <row r="784">
      <c r="A784" s="1">
        <f>IFERROR(__xludf.DUMMYFUNCTION("""COMPUTED_VALUE"""),652200.0)</f>
        <v>652200</v>
      </c>
      <c r="B784" s="2">
        <f>IFERROR(__xludf.DUMMYFUNCTION("""COMPUTED_VALUE"""),42748.75317046136)</f>
        <v>42748.75317</v>
      </c>
      <c r="C784" s="1" t="str">
        <f>IFERROR(__xludf.DUMMYFUNCTION("""COMPUTED_VALUE"""),"treatment")</f>
        <v>treatment</v>
      </c>
      <c r="D784" s="1" t="str">
        <f>IFERROR(__xludf.DUMMYFUNCTION("""COMPUTED_VALUE"""),"new_page")</f>
        <v>new_page</v>
      </c>
      <c r="E784" s="1">
        <f>IFERROR(__xludf.DUMMYFUNCTION("""COMPUTED_VALUE"""),1.0)</f>
        <v>1</v>
      </c>
    </row>
    <row r="785">
      <c r="A785" s="1">
        <f>IFERROR(__xludf.DUMMYFUNCTION("""COMPUTED_VALUE"""),680013.0)</f>
        <v>680013</v>
      </c>
      <c r="B785" s="2">
        <f>IFERROR(__xludf.DUMMYFUNCTION("""COMPUTED_VALUE"""),42756.620583165706)</f>
        <v>42756.62058</v>
      </c>
      <c r="C785" s="1" t="str">
        <f>IFERROR(__xludf.DUMMYFUNCTION("""COMPUTED_VALUE"""),"control")</f>
        <v>control</v>
      </c>
      <c r="D785" s="1" t="str">
        <f>IFERROR(__xludf.DUMMYFUNCTION("""COMPUTED_VALUE"""),"old_page")</f>
        <v>old_page</v>
      </c>
      <c r="E785" s="1">
        <f>IFERROR(__xludf.DUMMYFUNCTION("""COMPUTED_VALUE"""),0.0)</f>
        <v>0</v>
      </c>
    </row>
    <row r="786">
      <c r="A786" s="1">
        <f>IFERROR(__xludf.DUMMYFUNCTION("""COMPUTED_VALUE"""),824497.0)</f>
        <v>824497</v>
      </c>
      <c r="B786" s="2">
        <f>IFERROR(__xludf.DUMMYFUNCTION("""COMPUTED_VALUE"""),42755.4231535171)</f>
        <v>42755.42315</v>
      </c>
      <c r="C786" s="1" t="str">
        <f>IFERROR(__xludf.DUMMYFUNCTION("""COMPUTED_VALUE"""),"control")</f>
        <v>control</v>
      </c>
      <c r="D786" s="1" t="str">
        <f>IFERROR(__xludf.DUMMYFUNCTION("""COMPUTED_VALUE"""),"old_page")</f>
        <v>old_page</v>
      </c>
      <c r="E786" s="1">
        <f>IFERROR(__xludf.DUMMYFUNCTION("""COMPUTED_VALUE"""),1.0)</f>
        <v>1</v>
      </c>
    </row>
    <row r="787">
      <c r="A787" s="1">
        <f>IFERROR(__xludf.DUMMYFUNCTION("""COMPUTED_VALUE"""),847262.0)</f>
        <v>847262</v>
      </c>
      <c r="B787" s="2">
        <f>IFERROR(__xludf.DUMMYFUNCTION("""COMPUTED_VALUE"""),42749.40176729341)</f>
        <v>42749.40177</v>
      </c>
      <c r="C787" s="1" t="str">
        <f>IFERROR(__xludf.DUMMYFUNCTION("""COMPUTED_VALUE"""),"control")</f>
        <v>control</v>
      </c>
      <c r="D787" s="1" t="str">
        <f>IFERROR(__xludf.DUMMYFUNCTION("""COMPUTED_VALUE"""),"old_page")</f>
        <v>old_page</v>
      </c>
      <c r="E787" s="1">
        <f>IFERROR(__xludf.DUMMYFUNCTION("""COMPUTED_VALUE"""),0.0)</f>
        <v>0</v>
      </c>
    </row>
    <row r="788">
      <c r="A788" s="1">
        <f>IFERROR(__xludf.DUMMYFUNCTION("""COMPUTED_VALUE"""),912080.0)</f>
        <v>912080</v>
      </c>
      <c r="B788" s="2">
        <f>IFERROR(__xludf.DUMMYFUNCTION("""COMPUTED_VALUE"""),42759.2083003378)</f>
        <v>42759.2083</v>
      </c>
      <c r="C788" s="1" t="str">
        <f>IFERROR(__xludf.DUMMYFUNCTION("""COMPUTED_VALUE"""),"treatment")</f>
        <v>treatment</v>
      </c>
      <c r="D788" s="1" t="str">
        <f>IFERROR(__xludf.DUMMYFUNCTION("""COMPUTED_VALUE"""),"new_page")</f>
        <v>new_page</v>
      </c>
      <c r="E788" s="1">
        <f>IFERROR(__xludf.DUMMYFUNCTION("""COMPUTED_VALUE"""),0.0)</f>
        <v>0</v>
      </c>
    </row>
    <row r="789">
      <c r="A789" s="1">
        <f>IFERROR(__xludf.DUMMYFUNCTION("""COMPUTED_VALUE"""),768804.0)</f>
        <v>768804</v>
      </c>
      <c r="B789" s="2">
        <f>IFERROR(__xludf.DUMMYFUNCTION("""COMPUTED_VALUE"""),42745.637715744895)</f>
        <v>42745.63772</v>
      </c>
      <c r="C789" s="1" t="str">
        <f>IFERROR(__xludf.DUMMYFUNCTION("""COMPUTED_VALUE"""),"control")</f>
        <v>control</v>
      </c>
      <c r="D789" s="1" t="str">
        <f>IFERROR(__xludf.DUMMYFUNCTION("""COMPUTED_VALUE"""),"old_page")</f>
        <v>old_page</v>
      </c>
      <c r="E789" s="1">
        <f>IFERROR(__xludf.DUMMYFUNCTION("""COMPUTED_VALUE"""),0.0)</f>
        <v>0</v>
      </c>
    </row>
    <row r="790">
      <c r="A790" s="1">
        <f>IFERROR(__xludf.DUMMYFUNCTION("""COMPUTED_VALUE"""),798121.0)</f>
        <v>798121</v>
      </c>
      <c r="B790" s="2">
        <f>IFERROR(__xludf.DUMMYFUNCTION("""COMPUTED_VALUE"""),42748.05494219499)</f>
        <v>42748.05494</v>
      </c>
      <c r="C790" s="1" t="str">
        <f>IFERROR(__xludf.DUMMYFUNCTION("""COMPUTED_VALUE"""),"treatment")</f>
        <v>treatment</v>
      </c>
      <c r="D790" s="1" t="str">
        <f>IFERROR(__xludf.DUMMYFUNCTION("""COMPUTED_VALUE"""),"new_page")</f>
        <v>new_page</v>
      </c>
      <c r="E790" s="1">
        <f>IFERROR(__xludf.DUMMYFUNCTION("""COMPUTED_VALUE"""),0.0)</f>
        <v>0</v>
      </c>
    </row>
    <row r="791">
      <c r="A791" s="1">
        <f>IFERROR(__xludf.DUMMYFUNCTION("""COMPUTED_VALUE"""),751355.0)</f>
        <v>751355</v>
      </c>
      <c r="B791" s="2">
        <f>IFERROR(__xludf.DUMMYFUNCTION("""COMPUTED_VALUE"""),42759.43719848671)</f>
        <v>42759.4372</v>
      </c>
      <c r="C791" s="1" t="str">
        <f>IFERROR(__xludf.DUMMYFUNCTION("""COMPUTED_VALUE"""),"control")</f>
        <v>control</v>
      </c>
      <c r="D791" s="1" t="str">
        <f>IFERROR(__xludf.DUMMYFUNCTION("""COMPUTED_VALUE"""),"old_page")</f>
        <v>old_page</v>
      </c>
      <c r="E791" s="1">
        <f>IFERROR(__xludf.DUMMYFUNCTION("""COMPUTED_VALUE"""),0.0)</f>
        <v>0</v>
      </c>
    </row>
    <row r="792">
      <c r="A792" s="1">
        <f>IFERROR(__xludf.DUMMYFUNCTION("""COMPUTED_VALUE"""),745382.0)</f>
        <v>745382</v>
      </c>
      <c r="B792" s="2">
        <f>IFERROR(__xludf.DUMMYFUNCTION("""COMPUTED_VALUE"""),42745.03071568944)</f>
        <v>42745.03072</v>
      </c>
      <c r="C792" s="1" t="str">
        <f>IFERROR(__xludf.DUMMYFUNCTION("""COMPUTED_VALUE"""),"treatment")</f>
        <v>treatment</v>
      </c>
      <c r="D792" s="1" t="str">
        <f>IFERROR(__xludf.DUMMYFUNCTION("""COMPUTED_VALUE"""),"new_page")</f>
        <v>new_page</v>
      </c>
      <c r="E792" s="1">
        <f>IFERROR(__xludf.DUMMYFUNCTION("""COMPUTED_VALUE"""),0.0)</f>
        <v>0</v>
      </c>
    </row>
    <row r="793">
      <c r="A793" s="1">
        <f>IFERROR(__xludf.DUMMYFUNCTION("""COMPUTED_VALUE"""),749347.0)</f>
        <v>749347</v>
      </c>
      <c r="B793" s="2">
        <f>IFERROR(__xludf.DUMMYFUNCTION("""COMPUTED_VALUE"""),42746.67756575052)</f>
        <v>42746.67757</v>
      </c>
      <c r="C793" s="1" t="str">
        <f>IFERROR(__xludf.DUMMYFUNCTION("""COMPUTED_VALUE"""),"control")</f>
        <v>control</v>
      </c>
      <c r="D793" s="1" t="str">
        <f>IFERROR(__xludf.DUMMYFUNCTION("""COMPUTED_VALUE"""),"old_page")</f>
        <v>old_page</v>
      </c>
      <c r="E793" s="1">
        <f>IFERROR(__xludf.DUMMYFUNCTION("""COMPUTED_VALUE"""),0.0)</f>
        <v>0</v>
      </c>
    </row>
    <row r="794">
      <c r="A794" s="1">
        <f>IFERROR(__xludf.DUMMYFUNCTION("""COMPUTED_VALUE"""),832625.0)</f>
        <v>832625</v>
      </c>
      <c r="B794" s="2">
        <f>IFERROR(__xludf.DUMMYFUNCTION("""COMPUTED_VALUE"""),42747.7872355212)</f>
        <v>42747.78724</v>
      </c>
      <c r="C794" s="1" t="str">
        <f>IFERROR(__xludf.DUMMYFUNCTION("""COMPUTED_VALUE"""),"treatment")</f>
        <v>treatment</v>
      </c>
      <c r="D794" s="1" t="str">
        <f>IFERROR(__xludf.DUMMYFUNCTION("""COMPUTED_VALUE"""),"new_page")</f>
        <v>new_page</v>
      </c>
      <c r="E794" s="1">
        <f>IFERROR(__xludf.DUMMYFUNCTION("""COMPUTED_VALUE"""),0.0)</f>
        <v>0</v>
      </c>
    </row>
    <row r="795">
      <c r="A795" s="1">
        <f>IFERROR(__xludf.DUMMYFUNCTION("""COMPUTED_VALUE"""),891252.0)</f>
        <v>891252</v>
      </c>
      <c r="B795" s="2">
        <f>IFERROR(__xludf.DUMMYFUNCTION("""COMPUTED_VALUE"""),42753.019151644534)</f>
        <v>42753.01915</v>
      </c>
      <c r="C795" s="1" t="str">
        <f>IFERROR(__xludf.DUMMYFUNCTION("""COMPUTED_VALUE"""),"treatment")</f>
        <v>treatment</v>
      </c>
      <c r="D795" s="1" t="str">
        <f>IFERROR(__xludf.DUMMYFUNCTION("""COMPUTED_VALUE"""),"new_page")</f>
        <v>new_page</v>
      </c>
      <c r="E795" s="1">
        <f>IFERROR(__xludf.DUMMYFUNCTION("""COMPUTED_VALUE"""),0.0)</f>
        <v>0</v>
      </c>
    </row>
    <row r="796">
      <c r="A796" s="1">
        <f>IFERROR(__xludf.DUMMYFUNCTION("""COMPUTED_VALUE"""),672851.0)</f>
        <v>672851</v>
      </c>
      <c r="B796" s="2">
        <f>IFERROR(__xludf.DUMMYFUNCTION("""COMPUTED_VALUE"""),42745.87332451582)</f>
        <v>42745.87332</v>
      </c>
      <c r="C796" s="1" t="str">
        <f>IFERROR(__xludf.DUMMYFUNCTION("""COMPUTED_VALUE"""),"treatment")</f>
        <v>treatment</v>
      </c>
      <c r="D796" s="1" t="str">
        <f>IFERROR(__xludf.DUMMYFUNCTION("""COMPUTED_VALUE"""),"new_page")</f>
        <v>new_page</v>
      </c>
      <c r="E796" s="1">
        <f>IFERROR(__xludf.DUMMYFUNCTION("""COMPUTED_VALUE"""),0.0)</f>
        <v>0</v>
      </c>
    </row>
    <row r="797">
      <c r="A797" s="1">
        <f>IFERROR(__xludf.DUMMYFUNCTION("""COMPUTED_VALUE"""),674368.0)</f>
        <v>674368</v>
      </c>
      <c r="B797" s="2">
        <f>IFERROR(__xludf.DUMMYFUNCTION("""COMPUTED_VALUE"""),42744.67910480142)</f>
        <v>42744.6791</v>
      </c>
      <c r="C797" s="1" t="str">
        <f>IFERROR(__xludf.DUMMYFUNCTION("""COMPUTED_VALUE"""),"control")</f>
        <v>control</v>
      </c>
      <c r="D797" s="1" t="str">
        <f>IFERROR(__xludf.DUMMYFUNCTION("""COMPUTED_VALUE"""),"old_page")</f>
        <v>old_page</v>
      </c>
      <c r="E797" s="1">
        <f>IFERROR(__xludf.DUMMYFUNCTION("""COMPUTED_VALUE"""),0.0)</f>
        <v>0</v>
      </c>
    </row>
    <row r="798">
      <c r="A798" s="1">
        <f>IFERROR(__xludf.DUMMYFUNCTION("""COMPUTED_VALUE"""),692758.0)</f>
        <v>692758</v>
      </c>
      <c r="B798" s="2">
        <f>IFERROR(__xludf.DUMMYFUNCTION("""COMPUTED_VALUE"""),42752.529790670604)</f>
        <v>42752.52979</v>
      </c>
      <c r="C798" s="1" t="str">
        <f>IFERROR(__xludf.DUMMYFUNCTION("""COMPUTED_VALUE"""),"treatment")</f>
        <v>treatment</v>
      </c>
      <c r="D798" s="1" t="str">
        <f>IFERROR(__xludf.DUMMYFUNCTION("""COMPUTED_VALUE"""),"new_page")</f>
        <v>new_page</v>
      </c>
      <c r="E798" s="1">
        <f>IFERROR(__xludf.DUMMYFUNCTION("""COMPUTED_VALUE"""),0.0)</f>
        <v>0</v>
      </c>
    </row>
    <row r="799">
      <c r="A799" s="1">
        <f>IFERROR(__xludf.DUMMYFUNCTION("""COMPUTED_VALUE"""),707392.0)</f>
        <v>707392</v>
      </c>
      <c r="B799" s="2">
        <f>IFERROR(__xludf.DUMMYFUNCTION("""COMPUTED_VALUE"""),42752.90110514717)</f>
        <v>42752.90111</v>
      </c>
      <c r="C799" s="1" t="str">
        <f>IFERROR(__xludf.DUMMYFUNCTION("""COMPUTED_VALUE"""),"control")</f>
        <v>control</v>
      </c>
      <c r="D799" s="1" t="str">
        <f>IFERROR(__xludf.DUMMYFUNCTION("""COMPUTED_VALUE"""),"old_page")</f>
        <v>old_page</v>
      </c>
      <c r="E799" s="1">
        <f>IFERROR(__xludf.DUMMYFUNCTION("""COMPUTED_VALUE"""),0.0)</f>
        <v>0</v>
      </c>
    </row>
    <row r="800">
      <c r="A800" s="1">
        <f>IFERROR(__xludf.DUMMYFUNCTION("""COMPUTED_VALUE"""),697786.0)</f>
        <v>697786</v>
      </c>
      <c r="B800" s="2">
        <f>IFERROR(__xludf.DUMMYFUNCTION("""COMPUTED_VALUE"""),42740.30353070536)</f>
        <v>42740.30353</v>
      </c>
      <c r="C800" s="1" t="str">
        <f>IFERROR(__xludf.DUMMYFUNCTION("""COMPUTED_VALUE"""),"treatment")</f>
        <v>treatment</v>
      </c>
      <c r="D800" s="1" t="str">
        <f>IFERROR(__xludf.DUMMYFUNCTION("""COMPUTED_VALUE"""),"new_page")</f>
        <v>new_page</v>
      </c>
      <c r="E800" s="1">
        <f>IFERROR(__xludf.DUMMYFUNCTION("""COMPUTED_VALUE"""),0.0)</f>
        <v>0</v>
      </c>
    </row>
    <row r="801">
      <c r="A801" s="1">
        <f>IFERROR(__xludf.DUMMYFUNCTION("""COMPUTED_VALUE"""),842627.0)</f>
        <v>842627</v>
      </c>
      <c r="B801" s="2">
        <f>IFERROR(__xludf.DUMMYFUNCTION("""COMPUTED_VALUE"""),42752.0162344189)</f>
        <v>42752.01623</v>
      </c>
      <c r="C801" s="1" t="str">
        <f>IFERROR(__xludf.DUMMYFUNCTION("""COMPUTED_VALUE"""),"treatment")</f>
        <v>treatment</v>
      </c>
      <c r="D801" s="1" t="str">
        <f>IFERROR(__xludf.DUMMYFUNCTION("""COMPUTED_VALUE"""),"new_page")</f>
        <v>new_page</v>
      </c>
      <c r="E801" s="1">
        <f>IFERROR(__xludf.DUMMYFUNCTION("""COMPUTED_VALUE"""),0.0)</f>
        <v>0</v>
      </c>
    </row>
    <row r="802">
      <c r="A802" s="1">
        <f>IFERROR(__xludf.DUMMYFUNCTION("""COMPUTED_VALUE"""),815198.0)</f>
        <v>815198</v>
      </c>
      <c r="B802" s="2">
        <f>IFERROR(__xludf.DUMMYFUNCTION("""COMPUTED_VALUE"""),42750.06321583584)</f>
        <v>42750.06322</v>
      </c>
      <c r="C802" s="1" t="str">
        <f>IFERROR(__xludf.DUMMYFUNCTION("""COMPUTED_VALUE"""),"control")</f>
        <v>control</v>
      </c>
      <c r="D802" s="1" t="str">
        <f>IFERROR(__xludf.DUMMYFUNCTION("""COMPUTED_VALUE"""),"old_page")</f>
        <v>old_page</v>
      </c>
      <c r="E802" s="1">
        <f>IFERROR(__xludf.DUMMYFUNCTION("""COMPUTED_VALUE"""),0.0)</f>
        <v>0</v>
      </c>
    </row>
    <row r="803">
      <c r="A803" s="1">
        <f>IFERROR(__xludf.DUMMYFUNCTION("""COMPUTED_VALUE"""),784122.0)</f>
        <v>784122</v>
      </c>
      <c r="B803" s="2">
        <f>IFERROR(__xludf.DUMMYFUNCTION("""COMPUTED_VALUE"""),42737.813105352696)</f>
        <v>42737.81311</v>
      </c>
      <c r="C803" s="1" t="str">
        <f>IFERROR(__xludf.DUMMYFUNCTION("""COMPUTED_VALUE"""),"control")</f>
        <v>control</v>
      </c>
      <c r="D803" s="1" t="str">
        <f>IFERROR(__xludf.DUMMYFUNCTION("""COMPUTED_VALUE"""),"old_page")</f>
        <v>old_page</v>
      </c>
      <c r="E803" s="1">
        <f>IFERROR(__xludf.DUMMYFUNCTION("""COMPUTED_VALUE"""),1.0)</f>
        <v>1</v>
      </c>
    </row>
    <row r="804">
      <c r="A804" s="1">
        <f>IFERROR(__xludf.DUMMYFUNCTION("""COMPUTED_VALUE"""),770983.0)</f>
        <v>770983</v>
      </c>
      <c r="B804" s="2">
        <f>IFERROR(__xludf.DUMMYFUNCTION("""COMPUTED_VALUE"""),42748.93618841423)</f>
        <v>42748.93619</v>
      </c>
      <c r="C804" s="1" t="str">
        <f>IFERROR(__xludf.DUMMYFUNCTION("""COMPUTED_VALUE"""),"treatment")</f>
        <v>treatment</v>
      </c>
      <c r="D804" s="1" t="str">
        <f>IFERROR(__xludf.DUMMYFUNCTION("""COMPUTED_VALUE"""),"new_page")</f>
        <v>new_page</v>
      </c>
      <c r="E804" s="1">
        <f>IFERROR(__xludf.DUMMYFUNCTION("""COMPUTED_VALUE"""),0.0)</f>
        <v>0</v>
      </c>
    </row>
    <row r="805">
      <c r="A805" s="1">
        <f>IFERROR(__xludf.DUMMYFUNCTION("""COMPUTED_VALUE"""),936067.0)</f>
        <v>936067</v>
      </c>
      <c r="B805" s="2">
        <f>IFERROR(__xludf.DUMMYFUNCTION("""COMPUTED_VALUE"""),42739.98415886291)</f>
        <v>42739.98416</v>
      </c>
      <c r="C805" s="1" t="str">
        <f>IFERROR(__xludf.DUMMYFUNCTION("""COMPUTED_VALUE"""),"treatment")</f>
        <v>treatment</v>
      </c>
      <c r="D805" s="1" t="str">
        <f>IFERROR(__xludf.DUMMYFUNCTION("""COMPUTED_VALUE"""),"new_page")</f>
        <v>new_page</v>
      </c>
      <c r="E805" s="1">
        <f>IFERROR(__xludf.DUMMYFUNCTION("""COMPUTED_VALUE"""),0.0)</f>
        <v>0</v>
      </c>
    </row>
    <row r="806">
      <c r="A806" s="1">
        <f>IFERROR(__xludf.DUMMYFUNCTION("""COMPUTED_VALUE"""),686942.0)</f>
        <v>686942</v>
      </c>
      <c r="B806" s="2">
        <f>IFERROR(__xludf.DUMMYFUNCTION("""COMPUTED_VALUE"""),42751.83074203773)</f>
        <v>42751.83074</v>
      </c>
      <c r="C806" s="1" t="str">
        <f>IFERROR(__xludf.DUMMYFUNCTION("""COMPUTED_VALUE"""),"treatment")</f>
        <v>treatment</v>
      </c>
      <c r="D806" s="1" t="str">
        <f>IFERROR(__xludf.DUMMYFUNCTION("""COMPUTED_VALUE"""),"new_page")</f>
        <v>new_page</v>
      </c>
      <c r="E806" s="1">
        <f>IFERROR(__xludf.DUMMYFUNCTION("""COMPUTED_VALUE"""),0.0)</f>
        <v>0</v>
      </c>
    </row>
    <row r="807">
      <c r="A807" s="1">
        <f>IFERROR(__xludf.DUMMYFUNCTION("""COMPUTED_VALUE"""),693095.0)</f>
        <v>693095</v>
      </c>
      <c r="B807" s="2">
        <f>IFERROR(__xludf.DUMMYFUNCTION("""COMPUTED_VALUE"""),42745.59716607146)</f>
        <v>42745.59717</v>
      </c>
      <c r="C807" s="1" t="str">
        <f>IFERROR(__xludf.DUMMYFUNCTION("""COMPUTED_VALUE"""),"control")</f>
        <v>control</v>
      </c>
      <c r="D807" s="1" t="str">
        <f>IFERROR(__xludf.DUMMYFUNCTION("""COMPUTED_VALUE"""),"old_page")</f>
        <v>old_page</v>
      </c>
      <c r="E807" s="1">
        <f>IFERROR(__xludf.DUMMYFUNCTION("""COMPUTED_VALUE"""),0.0)</f>
        <v>0</v>
      </c>
    </row>
    <row r="808">
      <c r="A808" s="1">
        <f>IFERROR(__xludf.DUMMYFUNCTION("""COMPUTED_VALUE"""),856272.0)</f>
        <v>856272</v>
      </c>
      <c r="B808" s="2">
        <f>IFERROR(__xludf.DUMMYFUNCTION("""COMPUTED_VALUE"""),42755.777067481526)</f>
        <v>42755.77707</v>
      </c>
      <c r="C808" s="1" t="str">
        <f>IFERROR(__xludf.DUMMYFUNCTION("""COMPUTED_VALUE"""),"control")</f>
        <v>control</v>
      </c>
      <c r="D808" s="1" t="str">
        <f>IFERROR(__xludf.DUMMYFUNCTION("""COMPUTED_VALUE"""),"old_page")</f>
        <v>old_page</v>
      </c>
      <c r="E808" s="1">
        <f>IFERROR(__xludf.DUMMYFUNCTION("""COMPUTED_VALUE"""),0.0)</f>
        <v>0</v>
      </c>
    </row>
    <row r="809">
      <c r="A809" s="1">
        <f>IFERROR(__xludf.DUMMYFUNCTION("""COMPUTED_VALUE"""),753245.0)</f>
        <v>753245</v>
      </c>
      <c r="B809" s="2">
        <f>IFERROR(__xludf.DUMMYFUNCTION("""COMPUTED_VALUE"""),42753.64074262075)</f>
        <v>42753.64074</v>
      </c>
      <c r="C809" s="1" t="str">
        <f>IFERROR(__xludf.DUMMYFUNCTION("""COMPUTED_VALUE"""),"treatment")</f>
        <v>treatment</v>
      </c>
      <c r="D809" s="1" t="str">
        <f>IFERROR(__xludf.DUMMYFUNCTION("""COMPUTED_VALUE"""),"new_page")</f>
        <v>new_page</v>
      </c>
      <c r="E809" s="1">
        <f>IFERROR(__xludf.DUMMYFUNCTION("""COMPUTED_VALUE"""),0.0)</f>
        <v>0</v>
      </c>
    </row>
    <row r="810">
      <c r="A810" s="1">
        <f>IFERROR(__xludf.DUMMYFUNCTION("""COMPUTED_VALUE"""),805301.0)</f>
        <v>805301</v>
      </c>
      <c r="B810" s="2">
        <f>IFERROR(__xludf.DUMMYFUNCTION("""COMPUTED_VALUE"""),42746.90082795828)</f>
        <v>42746.90083</v>
      </c>
      <c r="C810" s="1" t="str">
        <f>IFERROR(__xludf.DUMMYFUNCTION("""COMPUTED_VALUE"""),"treatment")</f>
        <v>treatment</v>
      </c>
      <c r="D810" s="1" t="str">
        <f>IFERROR(__xludf.DUMMYFUNCTION("""COMPUTED_VALUE"""),"new_page")</f>
        <v>new_page</v>
      </c>
      <c r="E810" s="1">
        <f>IFERROR(__xludf.DUMMYFUNCTION("""COMPUTED_VALUE"""),1.0)</f>
        <v>1</v>
      </c>
    </row>
    <row r="811">
      <c r="A811" s="1">
        <f>IFERROR(__xludf.DUMMYFUNCTION("""COMPUTED_VALUE"""),709757.0)</f>
        <v>709757</v>
      </c>
      <c r="B811" s="2">
        <f>IFERROR(__xludf.DUMMYFUNCTION("""COMPUTED_VALUE"""),42755.20957541214)</f>
        <v>42755.20958</v>
      </c>
      <c r="C811" s="1" t="str">
        <f>IFERROR(__xludf.DUMMYFUNCTION("""COMPUTED_VALUE"""),"treatment")</f>
        <v>treatment</v>
      </c>
      <c r="D811" s="1" t="str">
        <f>IFERROR(__xludf.DUMMYFUNCTION("""COMPUTED_VALUE"""),"new_page")</f>
        <v>new_page</v>
      </c>
      <c r="E811" s="1">
        <f>IFERROR(__xludf.DUMMYFUNCTION("""COMPUTED_VALUE"""),0.0)</f>
        <v>0</v>
      </c>
    </row>
    <row r="812">
      <c r="A812" s="1">
        <f>IFERROR(__xludf.DUMMYFUNCTION("""COMPUTED_VALUE"""),875890.0)</f>
        <v>875890</v>
      </c>
      <c r="B812" s="2">
        <f>IFERROR(__xludf.DUMMYFUNCTION("""COMPUTED_VALUE"""),42741.85531854075)</f>
        <v>42741.85532</v>
      </c>
      <c r="C812" s="1" t="str">
        <f>IFERROR(__xludf.DUMMYFUNCTION("""COMPUTED_VALUE"""),"treatment")</f>
        <v>treatment</v>
      </c>
      <c r="D812" s="1" t="str">
        <f>IFERROR(__xludf.DUMMYFUNCTION("""COMPUTED_VALUE"""),"new_page")</f>
        <v>new_page</v>
      </c>
      <c r="E812" s="1">
        <f>IFERROR(__xludf.DUMMYFUNCTION("""COMPUTED_VALUE"""),0.0)</f>
        <v>0</v>
      </c>
    </row>
    <row r="813">
      <c r="A813" s="1">
        <f>IFERROR(__xludf.DUMMYFUNCTION("""COMPUTED_VALUE"""),806355.0)</f>
        <v>806355</v>
      </c>
      <c r="B813" s="2">
        <f>IFERROR(__xludf.DUMMYFUNCTION("""COMPUTED_VALUE"""),42745.150847422556)</f>
        <v>42745.15085</v>
      </c>
      <c r="C813" s="1" t="str">
        <f>IFERROR(__xludf.DUMMYFUNCTION("""COMPUTED_VALUE"""),"treatment")</f>
        <v>treatment</v>
      </c>
      <c r="D813" s="1" t="str">
        <f>IFERROR(__xludf.DUMMYFUNCTION("""COMPUTED_VALUE"""),"new_page")</f>
        <v>new_page</v>
      </c>
      <c r="E813" s="1">
        <f>IFERROR(__xludf.DUMMYFUNCTION("""COMPUTED_VALUE"""),1.0)</f>
        <v>1</v>
      </c>
    </row>
    <row r="814">
      <c r="A814" s="1">
        <f>IFERROR(__xludf.DUMMYFUNCTION("""COMPUTED_VALUE"""),829235.0)</f>
        <v>829235</v>
      </c>
      <c r="B814" s="2">
        <f>IFERROR(__xludf.DUMMYFUNCTION("""COMPUTED_VALUE"""),42751.32774902683)</f>
        <v>42751.32775</v>
      </c>
      <c r="C814" s="1" t="str">
        <f>IFERROR(__xludf.DUMMYFUNCTION("""COMPUTED_VALUE"""),"control")</f>
        <v>control</v>
      </c>
      <c r="D814" s="1" t="str">
        <f>IFERROR(__xludf.DUMMYFUNCTION("""COMPUTED_VALUE"""),"old_page")</f>
        <v>old_page</v>
      </c>
      <c r="E814" s="1">
        <f>IFERROR(__xludf.DUMMYFUNCTION("""COMPUTED_VALUE"""),0.0)</f>
        <v>0</v>
      </c>
    </row>
    <row r="815">
      <c r="A815" s="1">
        <f>IFERROR(__xludf.DUMMYFUNCTION("""COMPUTED_VALUE"""),921111.0)</f>
        <v>921111</v>
      </c>
      <c r="B815" s="2">
        <f>IFERROR(__xludf.DUMMYFUNCTION("""COMPUTED_VALUE"""),42743.6497841872)</f>
        <v>42743.64978</v>
      </c>
      <c r="C815" s="1" t="str">
        <f>IFERROR(__xludf.DUMMYFUNCTION("""COMPUTED_VALUE"""),"treatment")</f>
        <v>treatment</v>
      </c>
      <c r="D815" s="1" t="str">
        <f>IFERROR(__xludf.DUMMYFUNCTION("""COMPUTED_VALUE"""),"new_page")</f>
        <v>new_page</v>
      </c>
      <c r="E815" s="1">
        <f>IFERROR(__xludf.DUMMYFUNCTION("""COMPUTED_VALUE"""),1.0)</f>
        <v>1</v>
      </c>
    </row>
    <row r="816">
      <c r="A816" s="1">
        <f>IFERROR(__xludf.DUMMYFUNCTION("""COMPUTED_VALUE"""),806246.0)</f>
        <v>806246</v>
      </c>
      <c r="B816" s="2">
        <f>IFERROR(__xludf.DUMMYFUNCTION("""COMPUTED_VALUE"""),42739.88159979586)</f>
        <v>42739.8816</v>
      </c>
      <c r="C816" s="1" t="str">
        <f>IFERROR(__xludf.DUMMYFUNCTION("""COMPUTED_VALUE"""),"control")</f>
        <v>control</v>
      </c>
      <c r="D816" s="1" t="str">
        <f>IFERROR(__xludf.DUMMYFUNCTION("""COMPUTED_VALUE"""),"old_page")</f>
        <v>old_page</v>
      </c>
      <c r="E816" s="1">
        <f>IFERROR(__xludf.DUMMYFUNCTION("""COMPUTED_VALUE"""),1.0)</f>
        <v>1</v>
      </c>
    </row>
    <row r="817">
      <c r="A817" s="1">
        <f>IFERROR(__xludf.DUMMYFUNCTION("""COMPUTED_VALUE"""),785569.0)</f>
        <v>785569</v>
      </c>
      <c r="B817" s="2">
        <f>IFERROR(__xludf.DUMMYFUNCTION("""COMPUTED_VALUE"""),42742.90333533407)</f>
        <v>42742.90334</v>
      </c>
      <c r="C817" s="1" t="str">
        <f>IFERROR(__xludf.DUMMYFUNCTION("""COMPUTED_VALUE"""),"treatment")</f>
        <v>treatment</v>
      </c>
      <c r="D817" s="1" t="str">
        <f>IFERROR(__xludf.DUMMYFUNCTION("""COMPUTED_VALUE"""),"new_page")</f>
        <v>new_page</v>
      </c>
      <c r="E817" s="1">
        <f>IFERROR(__xludf.DUMMYFUNCTION("""COMPUTED_VALUE"""),0.0)</f>
        <v>0</v>
      </c>
    </row>
    <row r="818">
      <c r="A818" s="1">
        <f>IFERROR(__xludf.DUMMYFUNCTION("""COMPUTED_VALUE"""),878403.0)</f>
        <v>878403</v>
      </c>
      <c r="B818" s="2">
        <f>IFERROR(__xludf.DUMMYFUNCTION("""COMPUTED_VALUE"""),42756.68670026262)</f>
        <v>42756.6867</v>
      </c>
      <c r="C818" s="1" t="str">
        <f>IFERROR(__xludf.DUMMYFUNCTION("""COMPUTED_VALUE"""),"control")</f>
        <v>control</v>
      </c>
      <c r="D818" s="1" t="str">
        <f>IFERROR(__xludf.DUMMYFUNCTION("""COMPUTED_VALUE"""),"old_page")</f>
        <v>old_page</v>
      </c>
      <c r="E818" s="1">
        <f>IFERROR(__xludf.DUMMYFUNCTION("""COMPUTED_VALUE"""),0.0)</f>
        <v>0</v>
      </c>
    </row>
    <row r="819">
      <c r="A819" s="1">
        <f>IFERROR(__xludf.DUMMYFUNCTION("""COMPUTED_VALUE"""),913989.0)</f>
        <v>913989</v>
      </c>
      <c r="B819" s="2">
        <f>IFERROR(__xludf.DUMMYFUNCTION("""COMPUTED_VALUE"""),42759.16032676216)</f>
        <v>42759.16033</v>
      </c>
      <c r="C819" s="1" t="str">
        <f>IFERROR(__xludf.DUMMYFUNCTION("""COMPUTED_VALUE"""),"treatment")</f>
        <v>treatment</v>
      </c>
      <c r="D819" s="1" t="str">
        <f>IFERROR(__xludf.DUMMYFUNCTION("""COMPUTED_VALUE"""),"new_page")</f>
        <v>new_page</v>
      </c>
      <c r="E819" s="1">
        <f>IFERROR(__xludf.DUMMYFUNCTION("""COMPUTED_VALUE"""),0.0)</f>
        <v>0</v>
      </c>
    </row>
    <row r="820">
      <c r="A820" s="1">
        <f>IFERROR(__xludf.DUMMYFUNCTION("""COMPUTED_VALUE"""),899445.0)</f>
        <v>899445</v>
      </c>
      <c r="B820" s="2">
        <f>IFERROR(__xludf.DUMMYFUNCTION("""COMPUTED_VALUE"""),42739.33538367771)</f>
        <v>42739.33538</v>
      </c>
      <c r="C820" s="1" t="str">
        <f>IFERROR(__xludf.DUMMYFUNCTION("""COMPUTED_VALUE"""),"treatment")</f>
        <v>treatment</v>
      </c>
      <c r="D820" s="1" t="str">
        <f>IFERROR(__xludf.DUMMYFUNCTION("""COMPUTED_VALUE"""),"new_page")</f>
        <v>new_page</v>
      </c>
      <c r="E820" s="1">
        <f>IFERROR(__xludf.DUMMYFUNCTION("""COMPUTED_VALUE"""),0.0)</f>
        <v>0</v>
      </c>
    </row>
    <row r="821">
      <c r="A821" s="1">
        <f>IFERROR(__xludf.DUMMYFUNCTION("""COMPUTED_VALUE"""),843739.0)</f>
        <v>843739</v>
      </c>
      <c r="B821" s="2">
        <f>IFERROR(__xludf.DUMMYFUNCTION("""COMPUTED_VALUE"""),42753.63851534766)</f>
        <v>42753.63852</v>
      </c>
      <c r="C821" s="1" t="str">
        <f>IFERROR(__xludf.DUMMYFUNCTION("""COMPUTED_VALUE"""),"control")</f>
        <v>control</v>
      </c>
      <c r="D821" s="1" t="str">
        <f>IFERROR(__xludf.DUMMYFUNCTION("""COMPUTED_VALUE"""),"old_page")</f>
        <v>old_page</v>
      </c>
      <c r="E821" s="1">
        <f>IFERROR(__xludf.DUMMYFUNCTION("""COMPUTED_VALUE"""),0.0)</f>
        <v>0</v>
      </c>
    </row>
    <row r="822">
      <c r="A822" s="1">
        <f>IFERROR(__xludf.DUMMYFUNCTION("""COMPUTED_VALUE"""),796783.0)</f>
        <v>796783</v>
      </c>
      <c r="B822" s="2">
        <f>IFERROR(__xludf.DUMMYFUNCTION("""COMPUTED_VALUE"""),42749.761558356644)</f>
        <v>42749.76156</v>
      </c>
      <c r="C822" s="1" t="str">
        <f>IFERROR(__xludf.DUMMYFUNCTION("""COMPUTED_VALUE"""),"control")</f>
        <v>control</v>
      </c>
      <c r="D822" s="1" t="str">
        <f>IFERROR(__xludf.DUMMYFUNCTION("""COMPUTED_VALUE"""),"old_page")</f>
        <v>old_page</v>
      </c>
      <c r="E822" s="1">
        <f>IFERROR(__xludf.DUMMYFUNCTION("""COMPUTED_VALUE"""),0.0)</f>
        <v>0</v>
      </c>
    </row>
    <row r="823">
      <c r="A823" s="1">
        <f>IFERROR(__xludf.DUMMYFUNCTION("""COMPUTED_VALUE"""),632109.0)</f>
        <v>632109</v>
      </c>
      <c r="B823" s="2">
        <f>IFERROR(__xludf.DUMMYFUNCTION("""COMPUTED_VALUE"""),42746.404256494905)</f>
        <v>42746.40426</v>
      </c>
      <c r="C823" s="1" t="str">
        <f>IFERROR(__xludf.DUMMYFUNCTION("""COMPUTED_VALUE"""),"treatment")</f>
        <v>treatment</v>
      </c>
      <c r="D823" s="1" t="str">
        <f>IFERROR(__xludf.DUMMYFUNCTION("""COMPUTED_VALUE"""),"new_page")</f>
        <v>new_page</v>
      </c>
      <c r="E823" s="1">
        <f>IFERROR(__xludf.DUMMYFUNCTION("""COMPUTED_VALUE"""),1.0)</f>
        <v>1</v>
      </c>
    </row>
    <row r="824">
      <c r="A824" s="1">
        <f>IFERROR(__xludf.DUMMYFUNCTION("""COMPUTED_VALUE"""),881867.0)</f>
        <v>881867</v>
      </c>
      <c r="B824" s="2">
        <f>IFERROR(__xludf.DUMMYFUNCTION("""COMPUTED_VALUE"""),42751.36782829605)</f>
        <v>42751.36783</v>
      </c>
      <c r="C824" s="1" t="str">
        <f>IFERROR(__xludf.DUMMYFUNCTION("""COMPUTED_VALUE"""),"control")</f>
        <v>control</v>
      </c>
      <c r="D824" s="1" t="str">
        <f>IFERROR(__xludf.DUMMYFUNCTION("""COMPUTED_VALUE"""),"old_page")</f>
        <v>old_page</v>
      </c>
      <c r="E824" s="1">
        <f>IFERROR(__xludf.DUMMYFUNCTION("""COMPUTED_VALUE"""),0.0)</f>
        <v>0</v>
      </c>
    </row>
    <row r="825">
      <c r="A825" s="1">
        <f>IFERROR(__xludf.DUMMYFUNCTION("""COMPUTED_VALUE"""),826709.0)</f>
        <v>826709</v>
      </c>
      <c r="B825" s="2">
        <f>IFERROR(__xludf.DUMMYFUNCTION("""COMPUTED_VALUE"""),42745.49472214198)</f>
        <v>42745.49472</v>
      </c>
      <c r="C825" s="1" t="str">
        <f>IFERROR(__xludf.DUMMYFUNCTION("""COMPUTED_VALUE"""),"control")</f>
        <v>control</v>
      </c>
      <c r="D825" s="1" t="str">
        <f>IFERROR(__xludf.DUMMYFUNCTION("""COMPUTED_VALUE"""),"old_page")</f>
        <v>old_page</v>
      </c>
      <c r="E825" s="1">
        <f>IFERROR(__xludf.DUMMYFUNCTION("""COMPUTED_VALUE"""),0.0)</f>
        <v>0</v>
      </c>
    </row>
    <row r="826">
      <c r="A826" s="1">
        <f>IFERROR(__xludf.DUMMYFUNCTION("""COMPUTED_VALUE"""),790156.0)</f>
        <v>790156</v>
      </c>
      <c r="B826" s="2">
        <f>IFERROR(__xludf.DUMMYFUNCTION("""COMPUTED_VALUE"""),42755.23661211813)</f>
        <v>42755.23661</v>
      </c>
      <c r="C826" s="1" t="str">
        <f>IFERROR(__xludf.DUMMYFUNCTION("""COMPUTED_VALUE"""),"treatment")</f>
        <v>treatment</v>
      </c>
      <c r="D826" s="1" t="str">
        <f>IFERROR(__xludf.DUMMYFUNCTION("""COMPUTED_VALUE"""),"new_page")</f>
        <v>new_page</v>
      </c>
      <c r="E826" s="1">
        <f>IFERROR(__xludf.DUMMYFUNCTION("""COMPUTED_VALUE"""),0.0)</f>
        <v>0</v>
      </c>
    </row>
    <row r="827">
      <c r="A827" s="1">
        <f>IFERROR(__xludf.DUMMYFUNCTION("""COMPUTED_VALUE"""),643642.0)</f>
        <v>643642</v>
      </c>
      <c r="B827" s="2">
        <f>IFERROR(__xludf.DUMMYFUNCTION("""COMPUTED_VALUE"""),42738.52088338231)</f>
        <v>42738.52088</v>
      </c>
      <c r="C827" s="1" t="str">
        <f>IFERROR(__xludf.DUMMYFUNCTION("""COMPUTED_VALUE"""),"control")</f>
        <v>control</v>
      </c>
      <c r="D827" s="1" t="str">
        <f>IFERROR(__xludf.DUMMYFUNCTION("""COMPUTED_VALUE"""),"old_page")</f>
        <v>old_page</v>
      </c>
      <c r="E827" s="1">
        <f>IFERROR(__xludf.DUMMYFUNCTION("""COMPUTED_VALUE"""),0.0)</f>
        <v>0</v>
      </c>
    </row>
    <row r="828">
      <c r="A828" s="1">
        <f>IFERROR(__xludf.DUMMYFUNCTION("""COMPUTED_VALUE"""),787869.0)</f>
        <v>787869</v>
      </c>
      <c r="B828" s="2">
        <f>IFERROR(__xludf.DUMMYFUNCTION("""COMPUTED_VALUE"""),42740.67763628271)</f>
        <v>42740.67764</v>
      </c>
      <c r="C828" s="1" t="str">
        <f>IFERROR(__xludf.DUMMYFUNCTION("""COMPUTED_VALUE"""),"treatment")</f>
        <v>treatment</v>
      </c>
      <c r="D828" s="1" t="str">
        <f>IFERROR(__xludf.DUMMYFUNCTION("""COMPUTED_VALUE"""),"new_page")</f>
        <v>new_page</v>
      </c>
      <c r="E828" s="1">
        <f>IFERROR(__xludf.DUMMYFUNCTION("""COMPUTED_VALUE"""),0.0)</f>
        <v>0</v>
      </c>
    </row>
    <row r="829">
      <c r="A829" s="1">
        <f>IFERROR(__xludf.DUMMYFUNCTION("""COMPUTED_VALUE"""),693199.0)</f>
        <v>693199</v>
      </c>
      <c r="B829" s="2">
        <f>IFERROR(__xludf.DUMMYFUNCTION("""COMPUTED_VALUE"""),42737.70406961265)</f>
        <v>42737.70407</v>
      </c>
      <c r="C829" s="1" t="str">
        <f>IFERROR(__xludf.DUMMYFUNCTION("""COMPUTED_VALUE"""),"treatment")</f>
        <v>treatment</v>
      </c>
      <c r="D829" s="1" t="str">
        <f>IFERROR(__xludf.DUMMYFUNCTION("""COMPUTED_VALUE"""),"new_page")</f>
        <v>new_page</v>
      </c>
      <c r="E829" s="1">
        <f>IFERROR(__xludf.DUMMYFUNCTION("""COMPUTED_VALUE"""),0.0)</f>
        <v>0</v>
      </c>
    </row>
    <row r="830">
      <c r="A830" s="1">
        <f>IFERROR(__xludf.DUMMYFUNCTION("""COMPUTED_VALUE"""),924514.0)</f>
        <v>924514</v>
      </c>
      <c r="B830" s="2">
        <f>IFERROR(__xludf.DUMMYFUNCTION("""COMPUTED_VALUE"""),42754.60030037669)</f>
        <v>42754.6003</v>
      </c>
      <c r="C830" s="1" t="str">
        <f>IFERROR(__xludf.DUMMYFUNCTION("""COMPUTED_VALUE"""),"treatment")</f>
        <v>treatment</v>
      </c>
      <c r="D830" s="1" t="str">
        <f>IFERROR(__xludf.DUMMYFUNCTION("""COMPUTED_VALUE"""),"new_page")</f>
        <v>new_page</v>
      </c>
      <c r="E830" s="1">
        <f>IFERROR(__xludf.DUMMYFUNCTION("""COMPUTED_VALUE"""),0.0)</f>
        <v>0</v>
      </c>
    </row>
    <row r="831">
      <c r="A831" s="1">
        <f>IFERROR(__xludf.DUMMYFUNCTION("""COMPUTED_VALUE"""),863740.0)</f>
        <v>863740</v>
      </c>
      <c r="B831" s="2">
        <f>IFERROR(__xludf.DUMMYFUNCTION("""COMPUTED_VALUE"""),42755.71972987898)</f>
        <v>42755.71973</v>
      </c>
      <c r="C831" s="1" t="str">
        <f>IFERROR(__xludf.DUMMYFUNCTION("""COMPUTED_VALUE"""),"control")</f>
        <v>control</v>
      </c>
      <c r="D831" s="1" t="str">
        <f>IFERROR(__xludf.DUMMYFUNCTION("""COMPUTED_VALUE"""),"old_page")</f>
        <v>old_page</v>
      </c>
      <c r="E831" s="1">
        <f>IFERROR(__xludf.DUMMYFUNCTION("""COMPUTED_VALUE"""),1.0)</f>
        <v>1</v>
      </c>
    </row>
    <row r="832">
      <c r="A832" s="1">
        <f>IFERROR(__xludf.DUMMYFUNCTION("""COMPUTED_VALUE"""),919791.0)</f>
        <v>919791</v>
      </c>
      <c r="B832" s="2">
        <f>IFERROR(__xludf.DUMMYFUNCTION("""COMPUTED_VALUE"""),42743.03644071347)</f>
        <v>42743.03644</v>
      </c>
      <c r="C832" s="1" t="str">
        <f>IFERROR(__xludf.DUMMYFUNCTION("""COMPUTED_VALUE"""),"treatment")</f>
        <v>treatment</v>
      </c>
      <c r="D832" s="1" t="str">
        <f>IFERROR(__xludf.DUMMYFUNCTION("""COMPUTED_VALUE"""),"new_page")</f>
        <v>new_page</v>
      </c>
      <c r="E832" s="1">
        <f>IFERROR(__xludf.DUMMYFUNCTION("""COMPUTED_VALUE"""),0.0)</f>
        <v>0</v>
      </c>
    </row>
    <row r="833">
      <c r="A833" s="1">
        <f>IFERROR(__xludf.DUMMYFUNCTION("""COMPUTED_VALUE"""),734012.0)</f>
        <v>734012</v>
      </c>
      <c r="B833" s="2">
        <f>IFERROR(__xludf.DUMMYFUNCTION("""COMPUTED_VALUE"""),42753.220759687996)</f>
        <v>42753.22076</v>
      </c>
      <c r="C833" s="1" t="str">
        <f>IFERROR(__xludf.DUMMYFUNCTION("""COMPUTED_VALUE"""),"treatment")</f>
        <v>treatment</v>
      </c>
      <c r="D833" s="1" t="str">
        <f>IFERROR(__xludf.DUMMYFUNCTION("""COMPUTED_VALUE"""),"new_page")</f>
        <v>new_page</v>
      </c>
      <c r="E833" s="1">
        <f>IFERROR(__xludf.DUMMYFUNCTION("""COMPUTED_VALUE"""),0.0)</f>
        <v>0</v>
      </c>
    </row>
    <row r="834">
      <c r="A834" s="1">
        <f>IFERROR(__xludf.DUMMYFUNCTION("""COMPUTED_VALUE"""),717740.0)</f>
        <v>717740</v>
      </c>
      <c r="B834" s="2">
        <f>IFERROR(__xludf.DUMMYFUNCTION("""COMPUTED_VALUE"""),42743.08944973661)</f>
        <v>42743.08945</v>
      </c>
      <c r="C834" s="1" t="str">
        <f>IFERROR(__xludf.DUMMYFUNCTION("""COMPUTED_VALUE"""),"control")</f>
        <v>control</v>
      </c>
      <c r="D834" s="1" t="str">
        <f>IFERROR(__xludf.DUMMYFUNCTION("""COMPUTED_VALUE"""),"old_page")</f>
        <v>old_page</v>
      </c>
      <c r="E834" s="1">
        <f>IFERROR(__xludf.DUMMYFUNCTION("""COMPUTED_VALUE"""),0.0)</f>
        <v>0</v>
      </c>
    </row>
    <row r="835">
      <c r="A835" s="1">
        <f>IFERROR(__xludf.DUMMYFUNCTION("""COMPUTED_VALUE"""),653384.0)</f>
        <v>653384</v>
      </c>
      <c r="B835" s="2">
        <f>IFERROR(__xludf.DUMMYFUNCTION("""COMPUTED_VALUE"""),42758.55418443218)</f>
        <v>42758.55418</v>
      </c>
      <c r="C835" s="1" t="str">
        <f>IFERROR(__xludf.DUMMYFUNCTION("""COMPUTED_VALUE"""),"control")</f>
        <v>control</v>
      </c>
      <c r="D835" s="1" t="str">
        <f>IFERROR(__xludf.DUMMYFUNCTION("""COMPUTED_VALUE"""),"old_page")</f>
        <v>old_page</v>
      </c>
      <c r="E835" s="1">
        <f>IFERROR(__xludf.DUMMYFUNCTION("""COMPUTED_VALUE"""),0.0)</f>
        <v>0</v>
      </c>
    </row>
    <row r="836">
      <c r="A836" s="1">
        <f>IFERROR(__xludf.DUMMYFUNCTION("""COMPUTED_VALUE"""),691850.0)</f>
        <v>691850</v>
      </c>
      <c r="B836" s="2">
        <f>IFERROR(__xludf.DUMMYFUNCTION("""COMPUTED_VALUE"""),42755.47860692701)</f>
        <v>42755.47861</v>
      </c>
      <c r="C836" s="1" t="str">
        <f>IFERROR(__xludf.DUMMYFUNCTION("""COMPUTED_VALUE"""),"treatment")</f>
        <v>treatment</v>
      </c>
      <c r="D836" s="1" t="str">
        <f>IFERROR(__xludf.DUMMYFUNCTION("""COMPUTED_VALUE"""),"new_page")</f>
        <v>new_page</v>
      </c>
      <c r="E836" s="1">
        <f>IFERROR(__xludf.DUMMYFUNCTION("""COMPUTED_VALUE"""),0.0)</f>
        <v>0</v>
      </c>
    </row>
    <row r="837">
      <c r="A837" s="1">
        <f>IFERROR(__xludf.DUMMYFUNCTION("""COMPUTED_VALUE"""),779047.0)</f>
        <v>779047</v>
      </c>
      <c r="B837" s="2">
        <f>IFERROR(__xludf.DUMMYFUNCTION("""COMPUTED_VALUE"""),42754.323030361425)</f>
        <v>42754.32303</v>
      </c>
      <c r="C837" s="1" t="str">
        <f>IFERROR(__xludf.DUMMYFUNCTION("""COMPUTED_VALUE"""),"control")</f>
        <v>control</v>
      </c>
      <c r="D837" s="1" t="str">
        <f>IFERROR(__xludf.DUMMYFUNCTION("""COMPUTED_VALUE"""),"old_page")</f>
        <v>old_page</v>
      </c>
      <c r="E837" s="1">
        <f>IFERROR(__xludf.DUMMYFUNCTION("""COMPUTED_VALUE"""),0.0)</f>
        <v>0</v>
      </c>
    </row>
    <row r="838">
      <c r="A838" s="1">
        <f>IFERROR(__xludf.DUMMYFUNCTION("""COMPUTED_VALUE"""),852808.0)</f>
        <v>852808</v>
      </c>
      <c r="B838" s="2">
        <f>IFERROR(__xludf.DUMMYFUNCTION("""COMPUTED_VALUE"""),42754.23561944231)</f>
        <v>42754.23562</v>
      </c>
      <c r="C838" s="1" t="str">
        <f>IFERROR(__xludf.DUMMYFUNCTION("""COMPUTED_VALUE"""),"treatment")</f>
        <v>treatment</v>
      </c>
      <c r="D838" s="1" t="str">
        <f>IFERROR(__xludf.DUMMYFUNCTION("""COMPUTED_VALUE"""),"new_page")</f>
        <v>new_page</v>
      </c>
      <c r="E838" s="1">
        <f>IFERROR(__xludf.DUMMYFUNCTION("""COMPUTED_VALUE"""),0.0)</f>
        <v>0</v>
      </c>
    </row>
    <row r="839">
      <c r="A839" s="1">
        <f>IFERROR(__xludf.DUMMYFUNCTION("""COMPUTED_VALUE"""),893946.0)</f>
        <v>893946</v>
      </c>
      <c r="B839" s="2">
        <f>IFERROR(__xludf.DUMMYFUNCTION("""COMPUTED_VALUE"""),42754.47943446377)</f>
        <v>42754.47943</v>
      </c>
      <c r="C839" s="1" t="str">
        <f>IFERROR(__xludf.DUMMYFUNCTION("""COMPUTED_VALUE"""),"control")</f>
        <v>control</v>
      </c>
      <c r="D839" s="1" t="str">
        <f>IFERROR(__xludf.DUMMYFUNCTION("""COMPUTED_VALUE"""),"old_page")</f>
        <v>old_page</v>
      </c>
      <c r="E839" s="1">
        <f>IFERROR(__xludf.DUMMYFUNCTION("""COMPUTED_VALUE"""),0.0)</f>
        <v>0</v>
      </c>
    </row>
    <row r="840">
      <c r="A840" s="1">
        <f>IFERROR(__xludf.DUMMYFUNCTION("""COMPUTED_VALUE"""),688563.0)</f>
        <v>688563</v>
      </c>
      <c r="B840" s="2">
        <f>IFERROR(__xludf.DUMMYFUNCTION("""COMPUTED_VALUE"""),42742.21677329307)</f>
        <v>42742.21677</v>
      </c>
      <c r="C840" s="1" t="str">
        <f>IFERROR(__xludf.DUMMYFUNCTION("""COMPUTED_VALUE"""),"control")</f>
        <v>control</v>
      </c>
      <c r="D840" s="1" t="str">
        <f>IFERROR(__xludf.DUMMYFUNCTION("""COMPUTED_VALUE"""),"old_page")</f>
        <v>old_page</v>
      </c>
      <c r="E840" s="1">
        <f>IFERROR(__xludf.DUMMYFUNCTION("""COMPUTED_VALUE"""),0.0)</f>
        <v>0</v>
      </c>
    </row>
    <row r="841">
      <c r="A841" s="1">
        <f>IFERROR(__xludf.DUMMYFUNCTION("""COMPUTED_VALUE"""),685967.0)</f>
        <v>685967</v>
      </c>
      <c r="B841" s="2">
        <f>IFERROR(__xludf.DUMMYFUNCTION("""COMPUTED_VALUE"""),42751.10574836096)</f>
        <v>42751.10575</v>
      </c>
      <c r="C841" s="1" t="str">
        <f>IFERROR(__xludf.DUMMYFUNCTION("""COMPUTED_VALUE"""),"control")</f>
        <v>control</v>
      </c>
      <c r="D841" s="1" t="str">
        <f>IFERROR(__xludf.DUMMYFUNCTION("""COMPUTED_VALUE"""),"old_page")</f>
        <v>old_page</v>
      </c>
      <c r="E841" s="1">
        <f>IFERROR(__xludf.DUMMYFUNCTION("""COMPUTED_VALUE"""),0.0)</f>
        <v>0</v>
      </c>
    </row>
    <row r="842">
      <c r="A842" s="1">
        <f>IFERROR(__xludf.DUMMYFUNCTION("""COMPUTED_VALUE"""),695261.0)</f>
        <v>695261</v>
      </c>
      <c r="B842" s="2">
        <f>IFERROR(__xludf.DUMMYFUNCTION("""COMPUTED_VALUE"""),42739.26743789268)</f>
        <v>42739.26744</v>
      </c>
      <c r="C842" s="1" t="str">
        <f>IFERROR(__xludf.DUMMYFUNCTION("""COMPUTED_VALUE"""),"treatment")</f>
        <v>treatment</v>
      </c>
      <c r="D842" s="1" t="str">
        <f>IFERROR(__xludf.DUMMYFUNCTION("""COMPUTED_VALUE"""),"new_page")</f>
        <v>new_page</v>
      </c>
      <c r="E842" s="1">
        <f>IFERROR(__xludf.DUMMYFUNCTION("""COMPUTED_VALUE"""),1.0)</f>
        <v>1</v>
      </c>
    </row>
    <row r="843">
      <c r="A843" s="1">
        <f>IFERROR(__xludf.DUMMYFUNCTION("""COMPUTED_VALUE"""),698482.0)</f>
        <v>698482</v>
      </c>
      <c r="B843" s="2">
        <f>IFERROR(__xludf.DUMMYFUNCTION("""COMPUTED_VALUE"""),42755.37786367946)</f>
        <v>42755.37786</v>
      </c>
      <c r="C843" s="1" t="str">
        <f>IFERROR(__xludf.DUMMYFUNCTION("""COMPUTED_VALUE"""),"control")</f>
        <v>control</v>
      </c>
      <c r="D843" s="1" t="str">
        <f>IFERROR(__xludf.DUMMYFUNCTION("""COMPUTED_VALUE"""),"old_page")</f>
        <v>old_page</v>
      </c>
      <c r="E843" s="1">
        <f>IFERROR(__xludf.DUMMYFUNCTION("""COMPUTED_VALUE"""),0.0)</f>
        <v>0</v>
      </c>
    </row>
    <row r="844">
      <c r="A844" s="1">
        <f>IFERROR(__xludf.DUMMYFUNCTION("""COMPUTED_VALUE"""),667398.0)</f>
        <v>667398</v>
      </c>
      <c r="B844" s="2">
        <f>IFERROR(__xludf.DUMMYFUNCTION("""COMPUTED_VALUE"""),42757.459584797085)</f>
        <v>42757.45958</v>
      </c>
      <c r="C844" s="1" t="str">
        <f>IFERROR(__xludf.DUMMYFUNCTION("""COMPUTED_VALUE"""),"treatment")</f>
        <v>treatment</v>
      </c>
      <c r="D844" s="1" t="str">
        <f>IFERROR(__xludf.DUMMYFUNCTION("""COMPUTED_VALUE"""),"new_page")</f>
        <v>new_page</v>
      </c>
      <c r="E844" s="1">
        <f>IFERROR(__xludf.DUMMYFUNCTION("""COMPUTED_VALUE"""),0.0)</f>
        <v>0</v>
      </c>
    </row>
    <row r="845">
      <c r="A845" s="1">
        <f>IFERROR(__xludf.DUMMYFUNCTION("""COMPUTED_VALUE"""),873670.0)</f>
        <v>873670</v>
      </c>
      <c r="B845" s="2">
        <f>IFERROR(__xludf.DUMMYFUNCTION("""COMPUTED_VALUE"""),42747.96920505841)</f>
        <v>42747.96921</v>
      </c>
      <c r="C845" s="1" t="str">
        <f>IFERROR(__xludf.DUMMYFUNCTION("""COMPUTED_VALUE"""),"treatment")</f>
        <v>treatment</v>
      </c>
      <c r="D845" s="1" t="str">
        <f>IFERROR(__xludf.DUMMYFUNCTION("""COMPUTED_VALUE"""),"new_page")</f>
        <v>new_page</v>
      </c>
      <c r="E845" s="1">
        <f>IFERROR(__xludf.DUMMYFUNCTION("""COMPUTED_VALUE"""),0.0)</f>
        <v>0</v>
      </c>
    </row>
    <row r="846">
      <c r="A846" s="1">
        <f>IFERROR(__xludf.DUMMYFUNCTION("""COMPUTED_VALUE"""),723460.0)</f>
        <v>723460</v>
      </c>
      <c r="B846" s="2">
        <f>IFERROR(__xludf.DUMMYFUNCTION("""COMPUTED_VALUE"""),42752.46533808974)</f>
        <v>42752.46534</v>
      </c>
      <c r="C846" s="1" t="str">
        <f>IFERROR(__xludf.DUMMYFUNCTION("""COMPUTED_VALUE"""),"treatment")</f>
        <v>treatment</v>
      </c>
      <c r="D846" s="1" t="str">
        <f>IFERROR(__xludf.DUMMYFUNCTION("""COMPUTED_VALUE"""),"new_page")</f>
        <v>new_page</v>
      </c>
      <c r="E846" s="1">
        <f>IFERROR(__xludf.DUMMYFUNCTION("""COMPUTED_VALUE"""),0.0)</f>
        <v>0</v>
      </c>
    </row>
    <row r="847">
      <c r="A847" s="1">
        <f>IFERROR(__xludf.DUMMYFUNCTION("""COMPUTED_VALUE"""),764407.0)</f>
        <v>764407</v>
      </c>
      <c r="B847" s="2">
        <f>IFERROR(__xludf.DUMMYFUNCTION("""COMPUTED_VALUE"""),42756.05064536334)</f>
        <v>42756.05065</v>
      </c>
      <c r="C847" s="1" t="str">
        <f>IFERROR(__xludf.DUMMYFUNCTION("""COMPUTED_VALUE"""),"treatment")</f>
        <v>treatment</v>
      </c>
      <c r="D847" s="1" t="str">
        <f>IFERROR(__xludf.DUMMYFUNCTION("""COMPUTED_VALUE"""),"new_page")</f>
        <v>new_page</v>
      </c>
      <c r="E847" s="1">
        <f>IFERROR(__xludf.DUMMYFUNCTION("""COMPUTED_VALUE"""),0.0)</f>
        <v>0</v>
      </c>
    </row>
    <row r="848">
      <c r="A848" s="1">
        <f>IFERROR(__xludf.DUMMYFUNCTION("""COMPUTED_VALUE"""),637639.0)</f>
        <v>637639</v>
      </c>
      <c r="B848" s="2">
        <f>IFERROR(__xludf.DUMMYFUNCTION("""COMPUTED_VALUE"""),42746.96519308251)</f>
        <v>42746.96519</v>
      </c>
      <c r="C848" s="1" t="str">
        <f>IFERROR(__xludf.DUMMYFUNCTION("""COMPUTED_VALUE"""),"control")</f>
        <v>control</v>
      </c>
      <c r="D848" s="1" t="str">
        <f>IFERROR(__xludf.DUMMYFUNCTION("""COMPUTED_VALUE"""),"new_page")</f>
        <v>new_page</v>
      </c>
      <c r="E848" s="1">
        <f>IFERROR(__xludf.DUMMYFUNCTION("""COMPUTED_VALUE"""),1.0)</f>
        <v>1</v>
      </c>
    </row>
    <row r="849">
      <c r="A849" s="1">
        <f>IFERROR(__xludf.DUMMYFUNCTION("""COMPUTED_VALUE"""),868358.0)</f>
        <v>868358</v>
      </c>
      <c r="B849" s="2">
        <f>IFERROR(__xludf.DUMMYFUNCTION("""COMPUTED_VALUE"""),42747.51498375746)</f>
        <v>42747.51498</v>
      </c>
      <c r="C849" s="1" t="str">
        <f>IFERROR(__xludf.DUMMYFUNCTION("""COMPUTED_VALUE"""),"control")</f>
        <v>control</v>
      </c>
      <c r="D849" s="1" t="str">
        <f>IFERROR(__xludf.DUMMYFUNCTION("""COMPUTED_VALUE"""),"old_page")</f>
        <v>old_page</v>
      </c>
      <c r="E849" s="1">
        <f>IFERROR(__xludf.DUMMYFUNCTION("""COMPUTED_VALUE"""),0.0)</f>
        <v>0</v>
      </c>
    </row>
    <row r="850">
      <c r="A850" s="1">
        <f>IFERROR(__xludf.DUMMYFUNCTION("""COMPUTED_VALUE"""),843596.0)</f>
        <v>843596</v>
      </c>
      <c r="B850" s="2">
        <f>IFERROR(__xludf.DUMMYFUNCTION("""COMPUTED_VALUE"""),42751.13875158551)</f>
        <v>42751.13875</v>
      </c>
      <c r="C850" s="1" t="str">
        <f>IFERROR(__xludf.DUMMYFUNCTION("""COMPUTED_VALUE"""),"control")</f>
        <v>control</v>
      </c>
      <c r="D850" s="1" t="str">
        <f>IFERROR(__xludf.DUMMYFUNCTION("""COMPUTED_VALUE"""),"old_page")</f>
        <v>old_page</v>
      </c>
      <c r="E850" s="1">
        <f>IFERROR(__xludf.DUMMYFUNCTION("""COMPUTED_VALUE"""),0.0)</f>
        <v>0</v>
      </c>
    </row>
    <row r="851">
      <c r="A851" s="1">
        <f>IFERROR(__xludf.DUMMYFUNCTION("""COMPUTED_VALUE"""),839554.0)</f>
        <v>839554</v>
      </c>
      <c r="B851" s="2">
        <f>IFERROR(__xludf.DUMMYFUNCTION("""COMPUTED_VALUE"""),42757.313507956795)</f>
        <v>42757.31351</v>
      </c>
      <c r="C851" s="1" t="str">
        <f>IFERROR(__xludf.DUMMYFUNCTION("""COMPUTED_VALUE"""),"treatment")</f>
        <v>treatment</v>
      </c>
      <c r="D851" s="1" t="str">
        <f>IFERROR(__xludf.DUMMYFUNCTION("""COMPUTED_VALUE"""),"new_page")</f>
        <v>new_page</v>
      </c>
      <c r="E851" s="1">
        <f>IFERROR(__xludf.DUMMYFUNCTION("""COMPUTED_VALUE"""),0.0)</f>
        <v>0</v>
      </c>
    </row>
    <row r="852">
      <c r="A852" s="1">
        <f>IFERROR(__xludf.DUMMYFUNCTION("""COMPUTED_VALUE"""),793580.0)</f>
        <v>793580</v>
      </c>
      <c r="B852" s="2">
        <f>IFERROR(__xludf.DUMMYFUNCTION("""COMPUTED_VALUE"""),42743.14275143185)</f>
        <v>42743.14275</v>
      </c>
      <c r="C852" s="1" t="str">
        <f>IFERROR(__xludf.DUMMYFUNCTION("""COMPUTED_VALUE"""),"control")</f>
        <v>control</v>
      </c>
      <c r="D852" s="1" t="str">
        <f>IFERROR(__xludf.DUMMYFUNCTION("""COMPUTED_VALUE"""),"new_page")</f>
        <v>new_page</v>
      </c>
      <c r="E852" s="1">
        <f>IFERROR(__xludf.DUMMYFUNCTION("""COMPUTED_VALUE"""),1.0)</f>
        <v>1</v>
      </c>
    </row>
    <row r="853">
      <c r="A853" s="1">
        <f>IFERROR(__xludf.DUMMYFUNCTION("""COMPUTED_VALUE"""),637949.0)</f>
        <v>637949</v>
      </c>
      <c r="B853" s="2">
        <f>IFERROR(__xludf.DUMMYFUNCTION("""COMPUTED_VALUE"""),42751.111998641216)</f>
        <v>42751.112</v>
      </c>
      <c r="C853" s="1" t="str">
        <f>IFERROR(__xludf.DUMMYFUNCTION("""COMPUTED_VALUE"""),"treatment")</f>
        <v>treatment</v>
      </c>
      <c r="D853" s="1" t="str">
        <f>IFERROR(__xludf.DUMMYFUNCTION("""COMPUTED_VALUE"""),"new_page")</f>
        <v>new_page</v>
      </c>
      <c r="E853" s="1">
        <f>IFERROR(__xludf.DUMMYFUNCTION("""COMPUTED_VALUE"""),0.0)</f>
        <v>0</v>
      </c>
    </row>
    <row r="854">
      <c r="A854" s="1">
        <f>IFERROR(__xludf.DUMMYFUNCTION("""COMPUTED_VALUE"""),635607.0)</f>
        <v>635607</v>
      </c>
      <c r="B854" s="2">
        <f>IFERROR(__xludf.DUMMYFUNCTION("""COMPUTED_VALUE"""),42745.2411008904)</f>
        <v>42745.2411</v>
      </c>
      <c r="C854" s="1" t="str">
        <f>IFERROR(__xludf.DUMMYFUNCTION("""COMPUTED_VALUE"""),"treatment")</f>
        <v>treatment</v>
      </c>
      <c r="D854" s="1" t="str">
        <f>IFERROR(__xludf.DUMMYFUNCTION("""COMPUTED_VALUE"""),"new_page")</f>
        <v>new_page</v>
      </c>
      <c r="E854" s="1">
        <f>IFERROR(__xludf.DUMMYFUNCTION("""COMPUTED_VALUE"""),0.0)</f>
        <v>0</v>
      </c>
    </row>
    <row r="855">
      <c r="A855" s="1">
        <f>IFERROR(__xludf.DUMMYFUNCTION("""COMPUTED_VALUE"""),637965.0)</f>
        <v>637965</v>
      </c>
      <c r="B855" s="2">
        <f>IFERROR(__xludf.DUMMYFUNCTION("""COMPUTED_VALUE"""),42738.16894383919)</f>
        <v>42738.16894</v>
      </c>
      <c r="C855" s="1" t="str">
        <f>IFERROR(__xludf.DUMMYFUNCTION("""COMPUTED_VALUE"""),"treatment")</f>
        <v>treatment</v>
      </c>
      <c r="D855" s="1" t="str">
        <f>IFERROR(__xludf.DUMMYFUNCTION("""COMPUTED_VALUE"""),"new_page")</f>
        <v>new_page</v>
      </c>
      <c r="E855" s="1">
        <f>IFERROR(__xludf.DUMMYFUNCTION("""COMPUTED_VALUE"""),0.0)</f>
        <v>0</v>
      </c>
    </row>
    <row r="856">
      <c r="A856" s="1">
        <f>IFERROR(__xludf.DUMMYFUNCTION("""COMPUTED_VALUE"""),659361.0)</f>
        <v>659361</v>
      </c>
      <c r="B856" s="2">
        <f>IFERROR(__xludf.DUMMYFUNCTION("""COMPUTED_VALUE"""),42751.590349860395)</f>
        <v>42751.59035</v>
      </c>
      <c r="C856" s="1" t="str">
        <f>IFERROR(__xludf.DUMMYFUNCTION("""COMPUTED_VALUE"""),"treatment")</f>
        <v>treatment</v>
      </c>
      <c r="D856" s="1" t="str">
        <f>IFERROR(__xludf.DUMMYFUNCTION("""COMPUTED_VALUE"""),"new_page")</f>
        <v>new_page</v>
      </c>
      <c r="E856" s="1">
        <f>IFERROR(__xludf.DUMMYFUNCTION("""COMPUTED_VALUE"""),0.0)</f>
        <v>0</v>
      </c>
    </row>
    <row r="857">
      <c r="A857" s="1">
        <f>IFERROR(__xludf.DUMMYFUNCTION("""COMPUTED_VALUE"""),638086.0)</f>
        <v>638086</v>
      </c>
      <c r="B857" s="2">
        <f>IFERROR(__xludf.DUMMYFUNCTION("""COMPUTED_VALUE"""),42754.766417042294)</f>
        <v>42754.76642</v>
      </c>
      <c r="C857" s="1" t="str">
        <f>IFERROR(__xludf.DUMMYFUNCTION("""COMPUTED_VALUE"""),"control")</f>
        <v>control</v>
      </c>
      <c r="D857" s="1" t="str">
        <f>IFERROR(__xludf.DUMMYFUNCTION("""COMPUTED_VALUE"""),"old_page")</f>
        <v>old_page</v>
      </c>
      <c r="E857" s="1">
        <f>IFERROR(__xludf.DUMMYFUNCTION("""COMPUTED_VALUE"""),0.0)</f>
        <v>0</v>
      </c>
    </row>
    <row r="858">
      <c r="A858" s="1">
        <f>IFERROR(__xludf.DUMMYFUNCTION("""COMPUTED_VALUE"""),662672.0)</f>
        <v>662672</v>
      </c>
      <c r="B858" s="2">
        <f>IFERROR(__xludf.DUMMYFUNCTION("""COMPUTED_VALUE"""),42752.04368381094)</f>
        <v>42752.04368</v>
      </c>
      <c r="C858" s="1" t="str">
        <f>IFERROR(__xludf.DUMMYFUNCTION("""COMPUTED_VALUE"""),"treatment")</f>
        <v>treatment</v>
      </c>
      <c r="D858" s="1" t="str">
        <f>IFERROR(__xludf.DUMMYFUNCTION("""COMPUTED_VALUE"""),"new_page")</f>
        <v>new_page</v>
      </c>
      <c r="E858" s="1">
        <f>IFERROR(__xludf.DUMMYFUNCTION("""COMPUTED_VALUE"""),0.0)</f>
        <v>0</v>
      </c>
    </row>
    <row r="859">
      <c r="A859" s="1">
        <f>IFERROR(__xludf.DUMMYFUNCTION("""COMPUTED_VALUE"""),811614.0)</f>
        <v>811614</v>
      </c>
      <c r="B859" s="2">
        <f>IFERROR(__xludf.DUMMYFUNCTION("""COMPUTED_VALUE"""),42745.18118996245)</f>
        <v>42745.18119</v>
      </c>
      <c r="C859" s="1" t="str">
        <f>IFERROR(__xludf.DUMMYFUNCTION("""COMPUTED_VALUE"""),"control")</f>
        <v>control</v>
      </c>
      <c r="D859" s="1" t="str">
        <f>IFERROR(__xludf.DUMMYFUNCTION("""COMPUTED_VALUE"""),"old_page")</f>
        <v>old_page</v>
      </c>
      <c r="E859" s="1">
        <f>IFERROR(__xludf.DUMMYFUNCTION("""COMPUTED_VALUE"""),0.0)</f>
        <v>0</v>
      </c>
    </row>
    <row r="860">
      <c r="A860" s="1">
        <f>IFERROR(__xludf.DUMMYFUNCTION("""COMPUTED_VALUE"""),684483.0)</f>
        <v>684483</v>
      </c>
      <c r="B860" s="2">
        <f>IFERROR(__xludf.DUMMYFUNCTION("""COMPUTED_VALUE"""),42748.06070957259)</f>
        <v>42748.06071</v>
      </c>
      <c r="C860" s="1" t="str">
        <f>IFERROR(__xludf.DUMMYFUNCTION("""COMPUTED_VALUE"""),"treatment")</f>
        <v>treatment</v>
      </c>
      <c r="D860" s="1" t="str">
        <f>IFERROR(__xludf.DUMMYFUNCTION("""COMPUTED_VALUE"""),"new_page")</f>
        <v>new_page</v>
      </c>
      <c r="E860" s="1">
        <f>IFERROR(__xludf.DUMMYFUNCTION("""COMPUTED_VALUE"""),0.0)</f>
        <v>0</v>
      </c>
    </row>
    <row r="861">
      <c r="A861" s="1">
        <f>IFERROR(__xludf.DUMMYFUNCTION("""COMPUTED_VALUE"""),709265.0)</f>
        <v>709265</v>
      </c>
      <c r="B861" s="2">
        <f>IFERROR(__xludf.DUMMYFUNCTION("""COMPUTED_VALUE"""),42746.9399830666)</f>
        <v>42746.93998</v>
      </c>
      <c r="C861" s="1" t="str">
        <f>IFERROR(__xludf.DUMMYFUNCTION("""COMPUTED_VALUE"""),"control")</f>
        <v>control</v>
      </c>
      <c r="D861" s="1" t="str">
        <f>IFERROR(__xludf.DUMMYFUNCTION("""COMPUTED_VALUE"""),"old_page")</f>
        <v>old_page</v>
      </c>
      <c r="E861" s="1">
        <f>IFERROR(__xludf.DUMMYFUNCTION("""COMPUTED_VALUE"""),0.0)</f>
        <v>0</v>
      </c>
    </row>
    <row r="862">
      <c r="A862" s="1">
        <f>IFERROR(__xludf.DUMMYFUNCTION("""COMPUTED_VALUE"""),650897.0)</f>
        <v>650897</v>
      </c>
      <c r="B862" s="2">
        <f>IFERROR(__xludf.DUMMYFUNCTION("""COMPUTED_VALUE"""),42741.10626633187)</f>
        <v>42741.10627</v>
      </c>
      <c r="C862" s="1" t="str">
        <f>IFERROR(__xludf.DUMMYFUNCTION("""COMPUTED_VALUE"""),"treatment")</f>
        <v>treatment</v>
      </c>
      <c r="D862" s="1" t="str">
        <f>IFERROR(__xludf.DUMMYFUNCTION("""COMPUTED_VALUE"""),"new_page")</f>
        <v>new_page</v>
      </c>
      <c r="E862" s="1">
        <f>IFERROR(__xludf.DUMMYFUNCTION("""COMPUTED_VALUE"""),0.0)</f>
        <v>0</v>
      </c>
    </row>
    <row r="863">
      <c r="A863" s="1">
        <f>IFERROR(__xludf.DUMMYFUNCTION("""COMPUTED_VALUE"""),655498.0)</f>
        <v>655498</v>
      </c>
      <c r="B863" s="2">
        <f>IFERROR(__xludf.DUMMYFUNCTION("""COMPUTED_VALUE"""),42746.110144713035)</f>
        <v>42746.11014</v>
      </c>
      <c r="C863" s="1" t="str">
        <f>IFERROR(__xludf.DUMMYFUNCTION("""COMPUTED_VALUE"""),"control")</f>
        <v>control</v>
      </c>
      <c r="D863" s="1" t="str">
        <f>IFERROR(__xludf.DUMMYFUNCTION("""COMPUTED_VALUE"""),"old_page")</f>
        <v>old_page</v>
      </c>
      <c r="E863" s="1">
        <f>IFERROR(__xludf.DUMMYFUNCTION("""COMPUTED_VALUE"""),0.0)</f>
        <v>0</v>
      </c>
    </row>
    <row r="864">
      <c r="A864" s="1">
        <f>IFERROR(__xludf.DUMMYFUNCTION("""COMPUTED_VALUE"""),850824.0)</f>
        <v>850824</v>
      </c>
      <c r="B864" s="2">
        <f>IFERROR(__xludf.DUMMYFUNCTION("""COMPUTED_VALUE"""),42752.62861423755)</f>
        <v>42752.62861</v>
      </c>
      <c r="C864" s="1" t="str">
        <f>IFERROR(__xludf.DUMMYFUNCTION("""COMPUTED_VALUE"""),"control")</f>
        <v>control</v>
      </c>
      <c r="D864" s="1" t="str">
        <f>IFERROR(__xludf.DUMMYFUNCTION("""COMPUTED_VALUE"""),"old_page")</f>
        <v>old_page</v>
      </c>
      <c r="E864" s="1">
        <f>IFERROR(__xludf.DUMMYFUNCTION("""COMPUTED_VALUE"""),0.0)</f>
        <v>0</v>
      </c>
    </row>
    <row r="865">
      <c r="A865" s="1">
        <f>IFERROR(__xludf.DUMMYFUNCTION("""COMPUTED_VALUE"""),691880.0)</f>
        <v>691880</v>
      </c>
      <c r="B865" s="2">
        <f>IFERROR(__xludf.DUMMYFUNCTION("""COMPUTED_VALUE"""),42751.13829597468)</f>
        <v>42751.1383</v>
      </c>
      <c r="C865" s="1" t="str">
        <f>IFERROR(__xludf.DUMMYFUNCTION("""COMPUTED_VALUE"""),"control")</f>
        <v>control</v>
      </c>
      <c r="D865" s="1" t="str">
        <f>IFERROR(__xludf.DUMMYFUNCTION("""COMPUTED_VALUE"""),"old_page")</f>
        <v>old_page</v>
      </c>
      <c r="E865" s="1">
        <f>IFERROR(__xludf.DUMMYFUNCTION("""COMPUTED_VALUE"""),0.0)</f>
        <v>0</v>
      </c>
    </row>
    <row r="866">
      <c r="A866" s="1">
        <f>IFERROR(__xludf.DUMMYFUNCTION("""COMPUTED_VALUE"""),919701.0)</f>
        <v>919701</v>
      </c>
      <c r="B866" s="2">
        <f>IFERROR(__xludf.DUMMYFUNCTION("""COMPUTED_VALUE"""),42746.47927299717)</f>
        <v>42746.47927</v>
      </c>
      <c r="C866" s="1" t="str">
        <f>IFERROR(__xludf.DUMMYFUNCTION("""COMPUTED_VALUE"""),"control")</f>
        <v>control</v>
      </c>
      <c r="D866" s="1" t="str">
        <f>IFERROR(__xludf.DUMMYFUNCTION("""COMPUTED_VALUE"""),"old_page")</f>
        <v>old_page</v>
      </c>
      <c r="E866" s="1">
        <f>IFERROR(__xludf.DUMMYFUNCTION("""COMPUTED_VALUE"""),0.0)</f>
        <v>0</v>
      </c>
    </row>
    <row r="867">
      <c r="A867" s="1">
        <f>IFERROR(__xludf.DUMMYFUNCTION("""COMPUTED_VALUE"""),730831.0)</f>
        <v>730831</v>
      </c>
      <c r="B867" s="2">
        <f>IFERROR(__xludf.DUMMYFUNCTION("""COMPUTED_VALUE"""),42748.68002742178)</f>
        <v>42748.68003</v>
      </c>
      <c r="C867" s="1" t="str">
        <f>IFERROR(__xludf.DUMMYFUNCTION("""COMPUTED_VALUE"""),"control")</f>
        <v>control</v>
      </c>
      <c r="D867" s="1" t="str">
        <f>IFERROR(__xludf.DUMMYFUNCTION("""COMPUTED_VALUE"""),"old_page")</f>
        <v>old_page</v>
      </c>
      <c r="E867" s="1">
        <f>IFERROR(__xludf.DUMMYFUNCTION("""COMPUTED_VALUE"""),0.0)</f>
        <v>0</v>
      </c>
    </row>
    <row r="868">
      <c r="A868" s="1">
        <f>IFERROR(__xludf.DUMMYFUNCTION("""COMPUTED_VALUE"""),748504.0)</f>
        <v>748504</v>
      </c>
      <c r="B868" s="2">
        <f>IFERROR(__xludf.DUMMYFUNCTION("""COMPUTED_VALUE"""),42751.518393404316)</f>
        <v>42751.51839</v>
      </c>
      <c r="C868" s="1" t="str">
        <f>IFERROR(__xludf.DUMMYFUNCTION("""COMPUTED_VALUE"""),"treatment")</f>
        <v>treatment</v>
      </c>
      <c r="D868" s="1" t="str">
        <f>IFERROR(__xludf.DUMMYFUNCTION("""COMPUTED_VALUE"""),"new_page")</f>
        <v>new_page</v>
      </c>
      <c r="E868" s="1">
        <f>IFERROR(__xludf.DUMMYFUNCTION("""COMPUTED_VALUE"""),0.0)</f>
        <v>0</v>
      </c>
    </row>
    <row r="869">
      <c r="A869" s="1">
        <f>IFERROR(__xludf.DUMMYFUNCTION("""COMPUTED_VALUE"""),692000.0)</f>
        <v>692000</v>
      </c>
      <c r="B869" s="2">
        <f>IFERROR(__xludf.DUMMYFUNCTION("""COMPUTED_VALUE"""),42742.93106430101)</f>
        <v>42742.93106</v>
      </c>
      <c r="C869" s="1" t="str">
        <f>IFERROR(__xludf.DUMMYFUNCTION("""COMPUTED_VALUE"""),"control")</f>
        <v>control</v>
      </c>
      <c r="D869" s="1" t="str">
        <f>IFERROR(__xludf.DUMMYFUNCTION("""COMPUTED_VALUE"""),"old_page")</f>
        <v>old_page</v>
      </c>
      <c r="E869" s="1">
        <f>IFERROR(__xludf.DUMMYFUNCTION("""COMPUTED_VALUE"""),0.0)</f>
        <v>0</v>
      </c>
    </row>
    <row r="870">
      <c r="A870" s="1">
        <f>IFERROR(__xludf.DUMMYFUNCTION("""COMPUTED_VALUE"""),843091.0)</f>
        <v>843091</v>
      </c>
      <c r="B870" s="2">
        <f>IFERROR(__xludf.DUMMYFUNCTION("""COMPUTED_VALUE"""),42745.572004396425)</f>
        <v>42745.572</v>
      </c>
      <c r="C870" s="1" t="str">
        <f>IFERROR(__xludf.DUMMYFUNCTION("""COMPUTED_VALUE"""),"treatment")</f>
        <v>treatment</v>
      </c>
      <c r="D870" s="1" t="str">
        <f>IFERROR(__xludf.DUMMYFUNCTION("""COMPUTED_VALUE"""),"new_page")</f>
        <v>new_page</v>
      </c>
      <c r="E870" s="1">
        <f>IFERROR(__xludf.DUMMYFUNCTION("""COMPUTED_VALUE"""),1.0)</f>
        <v>1</v>
      </c>
    </row>
    <row r="871">
      <c r="A871" s="1">
        <f>IFERROR(__xludf.DUMMYFUNCTION("""COMPUTED_VALUE"""),733852.0)</f>
        <v>733852</v>
      </c>
      <c r="B871" s="2">
        <f>IFERROR(__xludf.DUMMYFUNCTION("""COMPUTED_VALUE"""),42739.29445477884)</f>
        <v>42739.29445</v>
      </c>
      <c r="C871" s="1" t="str">
        <f>IFERROR(__xludf.DUMMYFUNCTION("""COMPUTED_VALUE"""),"control")</f>
        <v>control</v>
      </c>
      <c r="D871" s="1" t="str">
        <f>IFERROR(__xludf.DUMMYFUNCTION("""COMPUTED_VALUE"""),"old_page")</f>
        <v>old_page</v>
      </c>
      <c r="E871" s="1">
        <f>IFERROR(__xludf.DUMMYFUNCTION("""COMPUTED_VALUE"""),0.0)</f>
        <v>0</v>
      </c>
    </row>
    <row r="872">
      <c r="A872" s="1">
        <f>IFERROR(__xludf.DUMMYFUNCTION("""COMPUTED_VALUE"""),939337.0)</f>
        <v>939337</v>
      </c>
      <c r="B872" s="2">
        <f>IFERROR(__xludf.DUMMYFUNCTION("""COMPUTED_VALUE"""),42747.5459709152)</f>
        <v>42747.54597</v>
      </c>
      <c r="C872" s="1" t="str">
        <f>IFERROR(__xludf.DUMMYFUNCTION("""COMPUTED_VALUE"""),"control")</f>
        <v>control</v>
      </c>
      <c r="D872" s="1" t="str">
        <f>IFERROR(__xludf.DUMMYFUNCTION("""COMPUTED_VALUE"""),"old_page")</f>
        <v>old_page</v>
      </c>
      <c r="E872" s="1">
        <f>IFERROR(__xludf.DUMMYFUNCTION("""COMPUTED_VALUE"""),0.0)</f>
        <v>0</v>
      </c>
    </row>
    <row r="873">
      <c r="A873" s="1">
        <f>IFERROR(__xludf.DUMMYFUNCTION("""COMPUTED_VALUE"""),928411.0)</f>
        <v>928411</v>
      </c>
      <c r="B873" s="2">
        <f>IFERROR(__xludf.DUMMYFUNCTION("""COMPUTED_VALUE"""),42755.16094546873)</f>
        <v>42755.16095</v>
      </c>
      <c r="C873" s="1" t="str">
        <f>IFERROR(__xludf.DUMMYFUNCTION("""COMPUTED_VALUE"""),"control")</f>
        <v>control</v>
      </c>
      <c r="D873" s="1" t="str">
        <f>IFERROR(__xludf.DUMMYFUNCTION("""COMPUTED_VALUE"""),"old_page")</f>
        <v>old_page</v>
      </c>
      <c r="E873" s="1">
        <f>IFERROR(__xludf.DUMMYFUNCTION("""COMPUTED_VALUE"""),1.0)</f>
        <v>1</v>
      </c>
    </row>
    <row r="874">
      <c r="A874" s="1">
        <f>IFERROR(__xludf.DUMMYFUNCTION("""COMPUTED_VALUE"""),645849.0)</f>
        <v>645849</v>
      </c>
      <c r="B874" s="2">
        <f>IFERROR(__xludf.DUMMYFUNCTION("""COMPUTED_VALUE"""),42743.96292340951)</f>
        <v>42743.96292</v>
      </c>
      <c r="C874" s="1" t="str">
        <f>IFERROR(__xludf.DUMMYFUNCTION("""COMPUTED_VALUE"""),"control")</f>
        <v>control</v>
      </c>
      <c r="D874" s="1" t="str">
        <f>IFERROR(__xludf.DUMMYFUNCTION("""COMPUTED_VALUE"""),"old_page")</f>
        <v>old_page</v>
      </c>
      <c r="E874" s="1">
        <f>IFERROR(__xludf.DUMMYFUNCTION("""COMPUTED_VALUE"""),0.0)</f>
        <v>0</v>
      </c>
    </row>
    <row r="875">
      <c r="A875" s="1">
        <f>IFERROR(__xludf.DUMMYFUNCTION("""COMPUTED_VALUE"""),841052.0)</f>
        <v>841052</v>
      </c>
      <c r="B875" s="2">
        <f>IFERROR(__xludf.DUMMYFUNCTION("""COMPUTED_VALUE"""),42748.086462732346)</f>
        <v>42748.08646</v>
      </c>
      <c r="C875" s="1" t="str">
        <f>IFERROR(__xludf.DUMMYFUNCTION("""COMPUTED_VALUE"""),"treatment")</f>
        <v>treatment</v>
      </c>
      <c r="D875" s="1" t="str">
        <f>IFERROR(__xludf.DUMMYFUNCTION("""COMPUTED_VALUE"""),"new_page")</f>
        <v>new_page</v>
      </c>
      <c r="E875" s="1">
        <f>IFERROR(__xludf.DUMMYFUNCTION("""COMPUTED_VALUE"""),0.0)</f>
        <v>0</v>
      </c>
    </row>
    <row r="876">
      <c r="A876" s="1">
        <f>IFERROR(__xludf.DUMMYFUNCTION("""COMPUTED_VALUE"""),728288.0)</f>
        <v>728288</v>
      </c>
      <c r="B876" s="2">
        <f>IFERROR(__xludf.DUMMYFUNCTION("""COMPUTED_VALUE"""),42750.46625493634)</f>
        <v>42750.46625</v>
      </c>
      <c r="C876" s="1" t="str">
        <f>IFERROR(__xludf.DUMMYFUNCTION("""COMPUTED_VALUE"""),"treatment")</f>
        <v>treatment</v>
      </c>
      <c r="D876" s="1" t="str">
        <f>IFERROR(__xludf.DUMMYFUNCTION("""COMPUTED_VALUE"""),"new_page")</f>
        <v>new_page</v>
      </c>
      <c r="E876" s="1">
        <f>IFERROR(__xludf.DUMMYFUNCTION("""COMPUTED_VALUE"""),0.0)</f>
        <v>0</v>
      </c>
    </row>
    <row r="877">
      <c r="A877" s="1">
        <f>IFERROR(__xludf.DUMMYFUNCTION("""COMPUTED_VALUE"""),806631.0)</f>
        <v>806631</v>
      </c>
      <c r="B877" s="2">
        <f>IFERROR(__xludf.DUMMYFUNCTION("""COMPUTED_VALUE"""),42743.33041658267)</f>
        <v>42743.33042</v>
      </c>
      <c r="C877" s="1" t="str">
        <f>IFERROR(__xludf.DUMMYFUNCTION("""COMPUTED_VALUE"""),"treatment")</f>
        <v>treatment</v>
      </c>
      <c r="D877" s="1" t="str">
        <f>IFERROR(__xludf.DUMMYFUNCTION("""COMPUTED_VALUE"""),"new_page")</f>
        <v>new_page</v>
      </c>
      <c r="E877" s="1">
        <f>IFERROR(__xludf.DUMMYFUNCTION("""COMPUTED_VALUE"""),1.0)</f>
        <v>1</v>
      </c>
    </row>
    <row r="878">
      <c r="A878" s="1">
        <f>IFERROR(__xludf.DUMMYFUNCTION("""COMPUTED_VALUE"""),638405.0)</f>
        <v>638405</v>
      </c>
      <c r="B878" s="2">
        <f>IFERROR(__xludf.DUMMYFUNCTION("""COMPUTED_VALUE"""),42744.03623670817)</f>
        <v>42744.03624</v>
      </c>
      <c r="C878" s="1" t="str">
        <f>IFERROR(__xludf.DUMMYFUNCTION("""COMPUTED_VALUE"""),"treatment")</f>
        <v>treatment</v>
      </c>
      <c r="D878" s="1" t="str">
        <f>IFERROR(__xludf.DUMMYFUNCTION("""COMPUTED_VALUE"""),"new_page")</f>
        <v>new_page</v>
      </c>
      <c r="E878" s="1">
        <f>IFERROR(__xludf.DUMMYFUNCTION("""COMPUTED_VALUE"""),0.0)</f>
        <v>0</v>
      </c>
    </row>
    <row r="879">
      <c r="A879" s="1">
        <f>IFERROR(__xludf.DUMMYFUNCTION("""COMPUTED_VALUE"""),823455.0)</f>
        <v>823455</v>
      </c>
      <c r="B879" s="2">
        <f>IFERROR(__xludf.DUMMYFUNCTION("""COMPUTED_VALUE"""),42741.69819528458)</f>
        <v>42741.6982</v>
      </c>
      <c r="C879" s="1" t="str">
        <f>IFERROR(__xludf.DUMMYFUNCTION("""COMPUTED_VALUE"""),"control")</f>
        <v>control</v>
      </c>
      <c r="D879" s="1" t="str">
        <f>IFERROR(__xludf.DUMMYFUNCTION("""COMPUTED_VALUE"""),"old_page")</f>
        <v>old_page</v>
      </c>
      <c r="E879" s="1">
        <f>IFERROR(__xludf.DUMMYFUNCTION("""COMPUTED_VALUE"""),0.0)</f>
        <v>0</v>
      </c>
    </row>
    <row r="880">
      <c r="A880" s="1">
        <f>IFERROR(__xludf.DUMMYFUNCTION("""COMPUTED_VALUE"""),861287.0)</f>
        <v>861287</v>
      </c>
      <c r="B880" s="2">
        <f>IFERROR(__xludf.DUMMYFUNCTION("""COMPUTED_VALUE"""),42758.88551086272)</f>
        <v>42758.88551</v>
      </c>
      <c r="C880" s="1" t="str">
        <f>IFERROR(__xludf.DUMMYFUNCTION("""COMPUTED_VALUE"""),"treatment")</f>
        <v>treatment</v>
      </c>
      <c r="D880" s="1" t="str">
        <f>IFERROR(__xludf.DUMMYFUNCTION("""COMPUTED_VALUE"""),"new_page")</f>
        <v>new_page</v>
      </c>
      <c r="E880" s="1">
        <f>IFERROR(__xludf.DUMMYFUNCTION("""COMPUTED_VALUE"""),0.0)</f>
        <v>0</v>
      </c>
    </row>
    <row r="881">
      <c r="A881" s="1">
        <f>IFERROR(__xludf.DUMMYFUNCTION("""COMPUTED_VALUE"""),934227.0)</f>
        <v>934227</v>
      </c>
      <c r="B881" s="2">
        <f>IFERROR(__xludf.DUMMYFUNCTION("""COMPUTED_VALUE"""),42737.81263446841)</f>
        <v>42737.81263</v>
      </c>
      <c r="C881" s="1" t="str">
        <f>IFERROR(__xludf.DUMMYFUNCTION("""COMPUTED_VALUE"""),"control")</f>
        <v>control</v>
      </c>
      <c r="D881" s="1" t="str">
        <f>IFERROR(__xludf.DUMMYFUNCTION("""COMPUTED_VALUE"""),"old_page")</f>
        <v>old_page</v>
      </c>
      <c r="E881" s="1">
        <f>IFERROR(__xludf.DUMMYFUNCTION("""COMPUTED_VALUE"""),1.0)</f>
        <v>1</v>
      </c>
    </row>
    <row r="882">
      <c r="A882" s="1">
        <f>IFERROR(__xludf.DUMMYFUNCTION("""COMPUTED_VALUE"""),909990.0)</f>
        <v>909990</v>
      </c>
      <c r="B882" s="2">
        <f>IFERROR(__xludf.DUMMYFUNCTION("""COMPUTED_VALUE"""),42746.7030643724)</f>
        <v>42746.70306</v>
      </c>
      <c r="C882" s="1" t="str">
        <f>IFERROR(__xludf.DUMMYFUNCTION("""COMPUTED_VALUE"""),"treatment")</f>
        <v>treatment</v>
      </c>
      <c r="D882" s="1" t="str">
        <f>IFERROR(__xludf.DUMMYFUNCTION("""COMPUTED_VALUE"""),"new_page")</f>
        <v>new_page</v>
      </c>
      <c r="E882" s="1">
        <f>IFERROR(__xludf.DUMMYFUNCTION("""COMPUTED_VALUE"""),0.0)</f>
        <v>0</v>
      </c>
    </row>
    <row r="883">
      <c r="A883" s="1">
        <f>IFERROR(__xludf.DUMMYFUNCTION("""COMPUTED_VALUE"""),868160.0)</f>
        <v>868160</v>
      </c>
      <c r="B883" s="2">
        <f>IFERROR(__xludf.DUMMYFUNCTION("""COMPUTED_VALUE"""),42741.16286205368)</f>
        <v>42741.16286</v>
      </c>
      <c r="C883" s="1" t="str">
        <f>IFERROR(__xludf.DUMMYFUNCTION("""COMPUTED_VALUE"""),"control")</f>
        <v>control</v>
      </c>
      <c r="D883" s="1" t="str">
        <f>IFERROR(__xludf.DUMMYFUNCTION("""COMPUTED_VALUE"""),"old_page")</f>
        <v>old_page</v>
      </c>
      <c r="E883" s="1">
        <f>IFERROR(__xludf.DUMMYFUNCTION("""COMPUTED_VALUE"""),0.0)</f>
        <v>0</v>
      </c>
    </row>
    <row r="884">
      <c r="A884" s="1">
        <f>IFERROR(__xludf.DUMMYFUNCTION("""COMPUTED_VALUE"""),850233.0)</f>
        <v>850233</v>
      </c>
      <c r="B884" s="2">
        <f>IFERROR(__xludf.DUMMYFUNCTION("""COMPUTED_VALUE"""),42740.57788332866)</f>
        <v>42740.57788</v>
      </c>
      <c r="C884" s="1" t="str">
        <f>IFERROR(__xludf.DUMMYFUNCTION("""COMPUTED_VALUE"""),"treatment")</f>
        <v>treatment</v>
      </c>
      <c r="D884" s="1" t="str">
        <f>IFERROR(__xludf.DUMMYFUNCTION("""COMPUTED_VALUE"""),"new_page")</f>
        <v>new_page</v>
      </c>
      <c r="E884" s="1">
        <f>IFERROR(__xludf.DUMMYFUNCTION("""COMPUTED_VALUE"""),0.0)</f>
        <v>0</v>
      </c>
    </row>
    <row r="885">
      <c r="A885" s="1">
        <f>IFERROR(__xludf.DUMMYFUNCTION("""COMPUTED_VALUE"""),845063.0)</f>
        <v>845063</v>
      </c>
      <c r="B885" s="2">
        <f>IFERROR(__xludf.DUMMYFUNCTION("""COMPUTED_VALUE"""),42741.87857703625)</f>
        <v>42741.87858</v>
      </c>
      <c r="C885" s="1" t="str">
        <f>IFERROR(__xludf.DUMMYFUNCTION("""COMPUTED_VALUE"""),"treatment")</f>
        <v>treatment</v>
      </c>
      <c r="D885" s="1" t="str">
        <f>IFERROR(__xludf.DUMMYFUNCTION("""COMPUTED_VALUE"""),"new_page")</f>
        <v>new_page</v>
      </c>
      <c r="E885" s="1">
        <f>IFERROR(__xludf.DUMMYFUNCTION("""COMPUTED_VALUE"""),0.0)</f>
        <v>0</v>
      </c>
    </row>
    <row r="886">
      <c r="A886" s="1">
        <f>IFERROR(__xludf.DUMMYFUNCTION("""COMPUTED_VALUE"""),855352.0)</f>
        <v>855352</v>
      </c>
      <c r="B886" s="2">
        <f>IFERROR(__xludf.DUMMYFUNCTION("""COMPUTED_VALUE"""),42752.12123178823)</f>
        <v>42752.12123</v>
      </c>
      <c r="C886" s="1" t="str">
        <f>IFERROR(__xludf.DUMMYFUNCTION("""COMPUTED_VALUE"""),"treatment")</f>
        <v>treatment</v>
      </c>
      <c r="D886" s="1" t="str">
        <f>IFERROR(__xludf.DUMMYFUNCTION("""COMPUTED_VALUE"""),"new_page")</f>
        <v>new_page</v>
      </c>
      <c r="E886" s="1">
        <f>IFERROR(__xludf.DUMMYFUNCTION("""COMPUTED_VALUE"""),0.0)</f>
        <v>0</v>
      </c>
    </row>
    <row r="887">
      <c r="A887" s="1">
        <f>IFERROR(__xludf.DUMMYFUNCTION("""COMPUTED_VALUE"""),920288.0)</f>
        <v>920288</v>
      </c>
      <c r="B887" s="2">
        <f>IFERROR(__xludf.DUMMYFUNCTION("""COMPUTED_VALUE"""),42751.00824057694)</f>
        <v>42751.00824</v>
      </c>
      <c r="C887" s="1" t="str">
        <f>IFERROR(__xludf.DUMMYFUNCTION("""COMPUTED_VALUE"""),"treatment")</f>
        <v>treatment</v>
      </c>
      <c r="D887" s="1" t="str">
        <f>IFERROR(__xludf.DUMMYFUNCTION("""COMPUTED_VALUE"""),"new_page")</f>
        <v>new_page</v>
      </c>
      <c r="E887" s="1">
        <f>IFERROR(__xludf.DUMMYFUNCTION("""COMPUTED_VALUE"""),1.0)</f>
        <v>1</v>
      </c>
    </row>
    <row r="888">
      <c r="A888" s="1">
        <f>IFERROR(__xludf.DUMMYFUNCTION("""COMPUTED_VALUE"""),864224.0)</f>
        <v>864224</v>
      </c>
      <c r="B888" s="2">
        <f>IFERROR(__xludf.DUMMYFUNCTION("""COMPUTED_VALUE"""),42746.388494301595)</f>
        <v>42746.38849</v>
      </c>
      <c r="C888" s="1" t="str">
        <f>IFERROR(__xludf.DUMMYFUNCTION("""COMPUTED_VALUE"""),"control")</f>
        <v>control</v>
      </c>
      <c r="D888" s="1" t="str">
        <f>IFERROR(__xludf.DUMMYFUNCTION("""COMPUTED_VALUE"""),"old_page")</f>
        <v>old_page</v>
      </c>
      <c r="E888" s="1">
        <f>IFERROR(__xludf.DUMMYFUNCTION("""COMPUTED_VALUE"""),1.0)</f>
        <v>1</v>
      </c>
    </row>
    <row r="889">
      <c r="A889" s="1">
        <f>IFERROR(__xludf.DUMMYFUNCTION("""COMPUTED_VALUE"""),657521.0)</f>
        <v>657521</v>
      </c>
      <c r="B889" s="2">
        <f>IFERROR(__xludf.DUMMYFUNCTION("""COMPUTED_VALUE"""),42751.98268670992)</f>
        <v>42751.98269</v>
      </c>
      <c r="C889" s="1" t="str">
        <f>IFERROR(__xludf.DUMMYFUNCTION("""COMPUTED_VALUE"""),"control")</f>
        <v>control</v>
      </c>
      <c r="D889" s="1" t="str">
        <f>IFERROR(__xludf.DUMMYFUNCTION("""COMPUTED_VALUE"""),"old_page")</f>
        <v>old_page</v>
      </c>
      <c r="E889" s="1">
        <f>IFERROR(__xludf.DUMMYFUNCTION("""COMPUTED_VALUE"""),0.0)</f>
        <v>0</v>
      </c>
    </row>
    <row r="890">
      <c r="A890" s="1">
        <f>IFERROR(__xludf.DUMMYFUNCTION("""COMPUTED_VALUE"""),634113.0)</f>
        <v>634113</v>
      </c>
      <c r="B890" s="2">
        <f>IFERROR(__xludf.DUMMYFUNCTION("""COMPUTED_VALUE"""),42756.09513634046)</f>
        <v>42756.09514</v>
      </c>
      <c r="C890" s="1" t="str">
        <f>IFERROR(__xludf.DUMMYFUNCTION("""COMPUTED_VALUE"""),"control")</f>
        <v>control</v>
      </c>
      <c r="D890" s="1" t="str">
        <f>IFERROR(__xludf.DUMMYFUNCTION("""COMPUTED_VALUE"""),"old_page")</f>
        <v>old_page</v>
      </c>
      <c r="E890" s="1">
        <f>IFERROR(__xludf.DUMMYFUNCTION("""COMPUTED_VALUE"""),1.0)</f>
        <v>1</v>
      </c>
    </row>
    <row r="891">
      <c r="A891" s="1">
        <f>IFERROR(__xludf.DUMMYFUNCTION("""COMPUTED_VALUE"""),839954.0)</f>
        <v>839954</v>
      </c>
      <c r="B891" s="2">
        <f>IFERROR(__xludf.DUMMYFUNCTION("""COMPUTED_VALUE"""),42741.87386899223)</f>
        <v>42741.87387</v>
      </c>
      <c r="C891" s="1" t="str">
        <f>IFERROR(__xludf.DUMMYFUNCTION("""COMPUTED_VALUE"""),"treatment")</f>
        <v>treatment</v>
      </c>
      <c r="D891" s="1" t="str">
        <f>IFERROR(__xludf.DUMMYFUNCTION("""COMPUTED_VALUE"""),"old_page")</f>
        <v>old_page</v>
      </c>
      <c r="E891" s="1">
        <f>IFERROR(__xludf.DUMMYFUNCTION("""COMPUTED_VALUE"""),0.0)</f>
        <v>0</v>
      </c>
    </row>
    <row r="892">
      <c r="A892" s="1">
        <f>IFERROR(__xludf.DUMMYFUNCTION("""COMPUTED_VALUE"""),719780.0)</f>
        <v>719780</v>
      </c>
      <c r="B892" s="2">
        <f>IFERROR(__xludf.DUMMYFUNCTION("""COMPUTED_VALUE"""),42759.141642785835)</f>
        <v>42759.14164</v>
      </c>
      <c r="C892" s="1" t="str">
        <f>IFERROR(__xludf.DUMMYFUNCTION("""COMPUTED_VALUE"""),"control")</f>
        <v>control</v>
      </c>
      <c r="D892" s="1" t="str">
        <f>IFERROR(__xludf.DUMMYFUNCTION("""COMPUTED_VALUE"""),"old_page")</f>
        <v>old_page</v>
      </c>
      <c r="E892" s="1">
        <f>IFERROR(__xludf.DUMMYFUNCTION("""COMPUTED_VALUE"""),0.0)</f>
        <v>0</v>
      </c>
    </row>
    <row r="893">
      <c r="A893" s="1">
        <f>IFERROR(__xludf.DUMMYFUNCTION("""COMPUTED_VALUE"""),795656.0)</f>
        <v>795656</v>
      </c>
      <c r="B893" s="2">
        <f>IFERROR(__xludf.DUMMYFUNCTION("""COMPUTED_VALUE"""),42758.18245236972)</f>
        <v>42758.18245</v>
      </c>
      <c r="C893" s="1" t="str">
        <f>IFERROR(__xludf.DUMMYFUNCTION("""COMPUTED_VALUE"""),"control")</f>
        <v>control</v>
      </c>
      <c r="D893" s="1" t="str">
        <f>IFERROR(__xludf.DUMMYFUNCTION("""COMPUTED_VALUE"""),"old_page")</f>
        <v>old_page</v>
      </c>
      <c r="E893" s="1">
        <f>IFERROR(__xludf.DUMMYFUNCTION("""COMPUTED_VALUE"""),0.0)</f>
        <v>0</v>
      </c>
    </row>
    <row r="894">
      <c r="A894" s="1">
        <f>IFERROR(__xludf.DUMMYFUNCTION("""COMPUTED_VALUE"""),933505.0)</f>
        <v>933505</v>
      </c>
      <c r="B894" s="2">
        <f>IFERROR(__xludf.DUMMYFUNCTION("""COMPUTED_VALUE"""),42746.14369503709)</f>
        <v>42746.1437</v>
      </c>
      <c r="C894" s="1" t="str">
        <f>IFERROR(__xludf.DUMMYFUNCTION("""COMPUTED_VALUE"""),"treatment")</f>
        <v>treatment</v>
      </c>
      <c r="D894" s="1" t="str">
        <f>IFERROR(__xludf.DUMMYFUNCTION("""COMPUTED_VALUE"""),"new_page")</f>
        <v>new_page</v>
      </c>
      <c r="E894" s="1">
        <f>IFERROR(__xludf.DUMMYFUNCTION("""COMPUTED_VALUE"""),0.0)</f>
        <v>0</v>
      </c>
    </row>
    <row r="895">
      <c r="A895" s="1">
        <f>IFERROR(__xludf.DUMMYFUNCTION("""COMPUTED_VALUE"""),641399.0)</f>
        <v>641399</v>
      </c>
      <c r="B895" s="2">
        <f>IFERROR(__xludf.DUMMYFUNCTION("""COMPUTED_VALUE"""),42758.95295817577)</f>
        <v>42758.95296</v>
      </c>
      <c r="C895" s="1" t="str">
        <f>IFERROR(__xludf.DUMMYFUNCTION("""COMPUTED_VALUE"""),"treatment")</f>
        <v>treatment</v>
      </c>
      <c r="D895" s="1" t="str">
        <f>IFERROR(__xludf.DUMMYFUNCTION("""COMPUTED_VALUE"""),"new_page")</f>
        <v>new_page</v>
      </c>
      <c r="E895" s="1">
        <f>IFERROR(__xludf.DUMMYFUNCTION("""COMPUTED_VALUE"""),0.0)</f>
        <v>0</v>
      </c>
    </row>
    <row r="896">
      <c r="A896" s="1">
        <f>IFERROR(__xludf.DUMMYFUNCTION("""COMPUTED_VALUE"""),854272.0)</f>
        <v>854272</v>
      </c>
      <c r="B896" s="2">
        <f>IFERROR(__xludf.DUMMYFUNCTION("""COMPUTED_VALUE"""),42742.47697565501)</f>
        <v>42742.47698</v>
      </c>
      <c r="C896" s="1" t="str">
        <f>IFERROR(__xludf.DUMMYFUNCTION("""COMPUTED_VALUE"""),"control")</f>
        <v>control</v>
      </c>
      <c r="D896" s="1" t="str">
        <f>IFERROR(__xludf.DUMMYFUNCTION("""COMPUTED_VALUE"""),"old_page")</f>
        <v>old_page</v>
      </c>
      <c r="E896" s="1">
        <f>IFERROR(__xludf.DUMMYFUNCTION("""COMPUTED_VALUE"""),0.0)</f>
        <v>0</v>
      </c>
    </row>
    <row r="897">
      <c r="A897" s="1">
        <f>IFERROR(__xludf.DUMMYFUNCTION("""COMPUTED_VALUE"""),729955.0)</f>
        <v>729955</v>
      </c>
      <c r="B897" s="2">
        <f>IFERROR(__xludf.DUMMYFUNCTION("""COMPUTED_VALUE"""),42741.885527608174)</f>
        <v>42741.88553</v>
      </c>
      <c r="C897" s="1" t="str">
        <f>IFERROR(__xludf.DUMMYFUNCTION("""COMPUTED_VALUE"""),"treatment")</f>
        <v>treatment</v>
      </c>
      <c r="D897" s="1" t="str">
        <f>IFERROR(__xludf.DUMMYFUNCTION("""COMPUTED_VALUE"""),"new_page")</f>
        <v>new_page</v>
      </c>
      <c r="E897" s="1">
        <f>IFERROR(__xludf.DUMMYFUNCTION("""COMPUTED_VALUE"""),0.0)</f>
        <v>0</v>
      </c>
    </row>
    <row r="898">
      <c r="A898" s="1">
        <f>IFERROR(__xludf.DUMMYFUNCTION("""COMPUTED_VALUE"""),680053.0)</f>
        <v>680053</v>
      </c>
      <c r="B898" s="2">
        <f>IFERROR(__xludf.DUMMYFUNCTION("""COMPUTED_VALUE"""),42739.88616526833)</f>
        <v>42739.88617</v>
      </c>
      <c r="C898" s="1" t="str">
        <f>IFERROR(__xludf.DUMMYFUNCTION("""COMPUTED_VALUE"""),"control")</f>
        <v>control</v>
      </c>
      <c r="D898" s="1" t="str">
        <f>IFERROR(__xludf.DUMMYFUNCTION("""COMPUTED_VALUE"""),"old_page")</f>
        <v>old_page</v>
      </c>
      <c r="E898" s="1">
        <f>IFERROR(__xludf.DUMMYFUNCTION("""COMPUTED_VALUE"""),0.0)</f>
        <v>0</v>
      </c>
    </row>
    <row r="899">
      <c r="A899" s="1">
        <f>IFERROR(__xludf.DUMMYFUNCTION("""COMPUTED_VALUE"""),755722.0)</f>
        <v>755722</v>
      </c>
      <c r="B899" s="2">
        <f>IFERROR(__xludf.DUMMYFUNCTION("""COMPUTED_VALUE"""),42745.60698744015)</f>
        <v>42745.60699</v>
      </c>
      <c r="C899" s="1" t="str">
        <f>IFERROR(__xludf.DUMMYFUNCTION("""COMPUTED_VALUE"""),"control")</f>
        <v>control</v>
      </c>
      <c r="D899" s="1" t="str">
        <f>IFERROR(__xludf.DUMMYFUNCTION("""COMPUTED_VALUE"""),"old_page")</f>
        <v>old_page</v>
      </c>
      <c r="E899" s="1">
        <f>IFERROR(__xludf.DUMMYFUNCTION("""COMPUTED_VALUE"""),0.0)</f>
        <v>0</v>
      </c>
    </row>
    <row r="900">
      <c r="A900" s="1">
        <f>IFERROR(__xludf.DUMMYFUNCTION("""COMPUTED_VALUE"""),709686.0)</f>
        <v>709686</v>
      </c>
      <c r="B900" s="2">
        <f>IFERROR(__xludf.DUMMYFUNCTION("""COMPUTED_VALUE"""),42744.3242316628)</f>
        <v>42744.32423</v>
      </c>
      <c r="C900" s="1" t="str">
        <f>IFERROR(__xludf.DUMMYFUNCTION("""COMPUTED_VALUE"""),"control")</f>
        <v>control</v>
      </c>
      <c r="D900" s="1" t="str">
        <f>IFERROR(__xludf.DUMMYFUNCTION("""COMPUTED_VALUE"""),"old_page")</f>
        <v>old_page</v>
      </c>
      <c r="E900" s="1">
        <f>IFERROR(__xludf.DUMMYFUNCTION("""COMPUTED_VALUE"""),0.0)</f>
        <v>0</v>
      </c>
    </row>
    <row r="901">
      <c r="A901" s="1">
        <f>IFERROR(__xludf.DUMMYFUNCTION("""COMPUTED_VALUE"""),737107.0)</f>
        <v>737107</v>
      </c>
      <c r="B901" s="2">
        <f>IFERROR(__xludf.DUMMYFUNCTION("""COMPUTED_VALUE"""),42745.77142426807)</f>
        <v>42745.77142</v>
      </c>
      <c r="C901" s="1" t="str">
        <f>IFERROR(__xludf.DUMMYFUNCTION("""COMPUTED_VALUE"""),"treatment")</f>
        <v>treatment</v>
      </c>
      <c r="D901" s="1" t="str">
        <f>IFERROR(__xludf.DUMMYFUNCTION("""COMPUTED_VALUE"""),"new_page")</f>
        <v>new_page</v>
      </c>
      <c r="E901" s="1">
        <f>IFERROR(__xludf.DUMMYFUNCTION("""COMPUTED_VALUE"""),0.0)</f>
        <v>0</v>
      </c>
    </row>
    <row r="902">
      <c r="A902" s="1">
        <f>IFERROR(__xludf.DUMMYFUNCTION("""COMPUTED_VALUE"""),784158.0)</f>
        <v>784158</v>
      </c>
      <c r="B902" s="2">
        <f>IFERROR(__xludf.DUMMYFUNCTION("""COMPUTED_VALUE"""),42753.87091959911)</f>
        <v>42753.87092</v>
      </c>
      <c r="C902" s="1" t="str">
        <f>IFERROR(__xludf.DUMMYFUNCTION("""COMPUTED_VALUE"""),"treatment")</f>
        <v>treatment</v>
      </c>
      <c r="D902" s="1" t="str">
        <f>IFERROR(__xludf.DUMMYFUNCTION("""COMPUTED_VALUE"""),"new_page")</f>
        <v>new_page</v>
      </c>
      <c r="E902" s="1">
        <f>IFERROR(__xludf.DUMMYFUNCTION("""COMPUTED_VALUE"""),0.0)</f>
        <v>0</v>
      </c>
    </row>
    <row r="903">
      <c r="A903" s="1">
        <f>IFERROR(__xludf.DUMMYFUNCTION("""COMPUTED_VALUE"""),889695.0)</f>
        <v>889695</v>
      </c>
      <c r="B903" s="2">
        <f>IFERROR(__xludf.DUMMYFUNCTION("""COMPUTED_VALUE"""),42748.204087908714)</f>
        <v>42748.20409</v>
      </c>
      <c r="C903" s="1" t="str">
        <f>IFERROR(__xludf.DUMMYFUNCTION("""COMPUTED_VALUE"""),"control")</f>
        <v>control</v>
      </c>
      <c r="D903" s="1" t="str">
        <f>IFERROR(__xludf.DUMMYFUNCTION("""COMPUTED_VALUE"""),"old_page")</f>
        <v>old_page</v>
      </c>
      <c r="E903" s="1">
        <f>IFERROR(__xludf.DUMMYFUNCTION("""COMPUTED_VALUE"""),0.0)</f>
        <v>0</v>
      </c>
    </row>
    <row r="904">
      <c r="A904" s="1">
        <f>IFERROR(__xludf.DUMMYFUNCTION("""COMPUTED_VALUE"""),911014.0)</f>
        <v>911014</v>
      </c>
      <c r="B904" s="2">
        <f>IFERROR(__xludf.DUMMYFUNCTION("""COMPUTED_VALUE"""),42745.92146095206)</f>
        <v>42745.92146</v>
      </c>
      <c r="C904" s="1" t="str">
        <f>IFERROR(__xludf.DUMMYFUNCTION("""COMPUTED_VALUE"""),"treatment")</f>
        <v>treatment</v>
      </c>
      <c r="D904" s="1" t="str">
        <f>IFERROR(__xludf.DUMMYFUNCTION("""COMPUTED_VALUE"""),"new_page")</f>
        <v>new_page</v>
      </c>
      <c r="E904" s="1">
        <f>IFERROR(__xludf.DUMMYFUNCTION("""COMPUTED_VALUE"""),0.0)</f>
        <v>0</v>
      </c>
    </row>
    <row r="905">
      <c r="A905" s="1">
        <f>IFERROR(__xludf.DUMMYFUNCTION("""COMPUTED_VALUE"""),742561.0)</f>
        <v>742561</v>
      </c>
      <c r="B905" s="2">
        <f>IFERROR(__xludf.DUMMYFUNCTION("""COMPUTED_VALUE"""),42750.50232996221)</f>
        <v>42750.50233</v>
      </c>
      <c r="C905" s="1" t="str">
        <f>IFERROR(__xludf.DUMMYFUNCTION("""COMPUTED_VALUE"""),"control")</f>
        <v>control</v>
      </c>
      <c r="D905" s="1" t="str">
        <f>IFERROR(__xludf.DUMMYFUNCTION("""COMPUTED_VALUE"""),"old_page")</f>
        <v>old_page</v>
      </c>
      <c r="E905" s="1">
        <f>IFERROR(__xludf.DUMMYFUNCTION("""COMPUTED_VALUE"""),0.0)</f>
        <v>0</v>
      </c>
    </row>
    <row r="906">
      <c r="A906" s="1">
        <f>IFERROR(__xludf.DUMMYFUNCTION("""COMPUTED_VALUE"""),699296.0)</f>
        <v>699296</v>
      </c>
      <c r="B906" s="2">
        <f>IFERROR(__xludf.DUMMYFUNCTION("""COMPUTED_VALUE"""),42752.265592906275)</f>
        <v>42752.26559</v>
      </c>
      <c r="C906" s="1" t="str">
        <f>IFERROR(__xludf.DUMMYFUNCTION("""COMPUTED_VALUE"""),"treatment")</f>
        <v>treatment</v>
      </c>
      <c r="D906" s="1" t="str">
        <f>IFERROR(__xludf.DUMMYFUNCTION("""COMPUTED_VALUE"""),"new_page")</f>
        <v>new_page</v>
      </c>
      <c r="E906" s="1">
        <f>IFERROR(__xludf.DUMMYFUNCTION("""COMPUTED_VALUE"""),0.0)</f>
        <v>0</v>
      </c>
    </row>
    <row r="907">
      <c r="A907" s="1">
        <f>IFERROR(__xludf.DUMMYFUNCTION("""COMPUTED_VALUE"""),781176.0)</f>
        <v>781176</v>
      </c>
      <c r="B907" s="2">
        <f>IFERROR(__xludf.DUMMYFUNCTION("""COMPUTED_VALUE"""),42742.43067754933)</f>
        <v>42742.43068</v>
      </c>
      <c r="C907" s="1" t="str">
        <f>IFERROR(__xludf.DUMMYFUNCTION("""COMPUTED_VALUE"""),"treatment")</f>
        <v>treatment</v>
      </c>
      <c r="D907" s="1" t="str">
        <f>IFERROR(__xludf.DUMMYFUNCTION("""COMPUTED_VALUE"""),"new_page")</f>
        <v>new_page</v>
      </c>
      <c r="E907" s="1">
        <f>IFERROR(__xludf.DUMMYFUNCTION("""COMPUTED_VALUE"""),0.0)</f>
        <v>0</v>
      </c>
    </row>
    <row r="908">
      <c r="A908" s="1">
        <f>IFERROR(__xludf.DUMMYFUNCTION("""COMPUTED_VALUE"""),906879.0)</f>
        <v>906879</v>
      </c>
      <c r="B908" s="2">
        <f>IFERROR(__xludf.DUMMYFUNCTION("""COMPUTED_VALUE"""),42752.37888480195)</f>
        <v>42752.37888</v>
      </c>
      <c r="C908" s="1" t="str">
        <f>IFERROR(__xludf.DUMMYFUNCTION("""COMPUTED_VALUE"""),"control")</f>
        <v>control</v>
      </c>
      <c r="D908" s="1" t="str">
        <f>IFERROR(__xludf.DUMMYFUNCTION("""COMPUTED_VALUE"""),"old_page")</f>
        <v>old_page</v>
      </c>
      <c r="E908" s="1">
        <f>IFERROR(__xludf.DUMMYFUNCTION("""COMPUTED_VALUE"""),0.0)</f>
        <v>0</v>
      </c>
    </row>
    <row r="909">
      <c r="A909" s="1">
        <f>IFERROR(__xludf.DUMMYFUNCTION("""COMPUTED_VALUE"""),640807.0)</f>
        <v>640807</v>
      </c>
      <c r="B909" s="2">
        <f>IFERROR(__xludf.DUMMYFUNCTION("""COMPUTED_VALUE"""),42750.43730305303)</f>
        <v>42750.4373</v>
      </c>
      <c r="C909" s="1" t="str">
        <f>IFERROR(__xludf.DUMMYFUNCTION("""COMPUTED_VALUE"""),"control")</f>
        <v>control</v>
      </c>
      <c r="D909" s="1" t="str">
        <f>IFERROR(__xludf.DUMMYFUNCTION("""COMPUTED_VALUE"""),"old_page")</f>
        <v>old_page</v>
      </c>
      <c r="E909" s="1">
        <f>IFERROR(__xludf.DUMMYFUNCTION("""COMPUTED_VALUE"""),1.0)</f>
        <v>1</v>
      </c>
    </row>
    <row r="910">
      <c r="A910" s="1">
        <f>IFERROR(__xludf.DUMMYFUNCTION("""COMPUTED_VALUE"""),720887.0)</f>
        <v>720887</v>
      </c>
      <c r="B910" s="2">
        <f>IFERROR(__xludf.DUMMYFUNCTION("""COMPUTED_VALUE"""),42758.41560071052)</f>
        <v>42758.4156</v>
      </c>
      <c r="C910" s="1" t="str">
        <f>IFERROR(__xludf.DUMMYFUNCTION("""COMPUTED_VALUE"""),"treatment")</f>
        <v>treatment</v>
      </c>
      <c r="D910" s="1" t="str">
        <f>IFERROR(__xludf.DUMMYFUNCTION("""COMPUTED_VALUE"""),"new_page")</f>
        <v>new_page</v>
      </c>
      <c r="E910" s="1">
        <f>IFERROR(__xludf.DUMMYFUNCTION("""COMPUTED_VALUE"""),0.0)</f>
        <v>0</v>
      </c>
    </row>
    <row r="911">
      <c r="A911" s="1">
        <f>IFERROR(__xludf.DUMMYFUNCTION("""COMPUTED_VALUE"""),757546.0)</f>
        <v>757546</v>
      </c>
      <c r="B911" s="2">
        <f>IFERROR(__xludf.DUMMYFUNCTION("""COMPUTED_VALUE"""),42743.59543554765)</f>
        <v>42743.59544</v>
      </c>
      <c r="C911" s="1" t="str">
        <f>IFERROR(__xludf.DUMMYFUNCTION("""COMPUTED_VALUE"""),"control")</f>
        <v>control</v>
      </c>
      <c r="D911" s="1" t="str">
        <f>IFERROR(__xludf.DUMMYFUNCTION("""COMPUTED_VALUE"""),"old_page")</f>
        <v>old_page</v>
      </c>
      <c r="E911" s="1">
        <f>IFERROR(__xludf.DUMMYFUNCTION("""COMPUTED_VALUE"""),0.0)</f>
        <v>0</v>
      </c>
    </row>
    <row r="912">
      <c r="A912" s="1">
        <f>IFERROR(__xludf.DUMMYFUNCTION("""COMPUTED_VALUE"""),647711.0)</f>
        <v>647711</v>
      </c>
      <c r="B912" s="2">
        <f>IFERROR(__xludf.DUMMYFUNCTION("""COMPUTED_VALUE"""),42759.1579849787)</f>
        <v>42759.15798</v>
      </c>
      <c r="C912" s="1" t="str">
        <f>IFERROR(__xludf.DUMMYFUNCTION("""COMPUTED_VALUE"""),"treatment")</f>
        <v>treatment</v>
      </c>
      <c r="D912" s="1" t="str">
        <f>IFERROR(__xludf.DUMMYFUNCTION("""COMPUTED_VALUE"""),"new_page")</f>
        <v>new_page</v>
      </c>
      <c r="E912" s="1">
        <f>IFERROR(__xludf.DUMMYFUNCTION("""COMPUTED_VALUE"""),0.0)</f>
        <v>0</v>
      </c>
    </row>
    <row r="913">
      <c r="A913" s="1">
        <f>IFERROR(__xludf.DUMMYFUNCTION("""COMPUTED_VALUE"""),687705.0)</f>
        <v>687705</v>
      </c>
      <c r="B913" s="2">
        <f>IFERROR(__xludf.DUMMYFUNCTION("""COMPUTED_VALUE"""),42742.65346952316)</f>
        <v>42742.65347</v>
      </c>
      <c r="C913" s="1" t="str">
        <f>IFERROR(__xludf.DUMMYFUNCTION("""COMPUTED_VALUE"""),"treatment")</f>
        <v>treatment</v>
      </c>
      <c r="D913" s="1" t="str">
        <f>IFERROR(__xludf.DUMMYFUNCTION("""COMPUTED_VALUE"""),"new_page")</f>
        <v>new_page</v>
      </c>
      <c r="E913" s="1">
        <f>IFERROR(__xludf.DUMMYFUNCTION("""COMPUTED_VALUE"""),0.0)</f>
        <v>0</v>
      </c>
    </row>
    <row r="914">
      <c r="A914" s="1">
        <f>IFERROR(__xludf.DUMMYFUNCTION("""COMPUTED_VALUE"""),715340.0)</f>
        <v>715340</v>
      </c>
      <c r="B914" s="2">
        <f>IFERROR(__xludf.DUMMYFUNCTION("""COMPUTED_VALUE"""),42743.747421481654)</f>
        <v>42743.74742</v>
      </c>
      <c r="C914" s="1" t="str">
        <f>IFERROR(__xludf.DUMMYFUNCTION("""COMPUTED_VALUE"""),"control")</f>
        <v>control</v>
      </c>
      <c r="D914" s="1" t="str">
        <f>IFERROR(__xludf.DUMMYFUNCTION("""COMPUTED_VALUE"""),"old_page")</f>
        <v>old_page</v>
      </c>
      <c r="E914" s="1">
        <f>IFERROR(__xludf.DUMMYFUNCTION("""COMPUTED_VALUE"""),0.0)</f>
        <v>0</v>
      </c>
    </row>
    <row r="915">
      <c r="A915" s="1">
        <f>IFERROR(__xludf.DUMMYFUNCTION("""COMPUTED_VALUE"""),742409.0)</f>
        <v>742409</v>
      </c>
      <c r="B915" s="2">
        <f>IFERROR(__xludf.DUMMYFUNCTION("""COMPUTED_VALUE"""),42741.10887662036)</f>
        <v>42741.10888</v>
      </c>
      <c r="C915" s="1" t="str">
        <f>IFERROR(__xludf.DUMMYFUNCTION("""COMPUTED_VALUE"""),"treatment")</f>
        <v>treatment</v>
      </c>
      <c r="D915" s="1" t="str">
        <f>IFERROR(__xludf.DUMMYFUNCTION("""COMPUTED_VALUE"""),"new_page")</f>
        <v>new_page</v>
      </c>
      <c r="E915" s="1">
        <f>IFERROR(__xludf.DUMMYFUNCTION("""COMPUTED_VALUE"""),0.0)</f>
        <v>0</v>
      </c>
    </row>
    <row r="916">
      <c r="A916" s="1">
        <f>IFERROR(__xludf.DUMMYFUNCTION("""COMPUTED_VALUE"""),863768.0)</f>
        <v>863768</v>
      </c>
      <c r="B916" s="2">
        <f>IFERROR(__xludf.DUMMYFUNCTION("""COMPUTED_VALUE"""),42745.81539842924)</f>
        <v>42745.8154</v>
      </c>
      <c r="C916" s="1" t="str">
        <f>IFERROR(__xludf.DUMMYFUNCTION("""COMPUTED_VALUE"""),"control")</f>
        <v>control</v>
      </c>
      <c r="D916" s="1" t="str">
        <f>IFERROR(__xludf.DUMMYFUNCTION("""COMPUTED_VALUE"""),"old_page")</f>
        <v>old_page</v>
      </c>
      <c r="E916" s="1">
        <f>IFERROR(__xludf.DUMMYFUNCTION("""COMPUTED_VALUE"""),1.0)</f>
        <v>1</v>
      </c>
    </row>
    <row r="917">
      <c r="A917" s="1">
        <f>IFERROR(__xludf.DUMMYFUNCTION("""COMPUTED_VALUE"""),888915.0)</f>
        <v>888915</v>
      </c>
      <c r="B917" s="2">
        <f>IFERROR(__xludf.DUMMYFUNCTION("""COMPUTED_VALUE"""),42748.65066222831)</f>
        <v>42748.65066</v>
      </c>
      <c r="C917" s="1" t="str">
        <f>IFERROR(__xludf.DUMMYFUNCTION("""COMPUTED_VALUE"""),"treatment")</f>
        <v>treatment</v>
      </c>
      <c r="D917" s="1" t="str">
        <f>IFERROR(__xludf.DUMMYFUNCTION("""COMPUTED_VALUE"""),"new_page")</f>
        <v>new_page</v>
      </c>
      <c r="E917" s="1">
        <f>IFERROR(__xludf.DUMMYFUNCTION("""COMPUTED_VALUE"""),0.0)</f>
        <v>0</v>
      </c>
    </row>
    <row r="918">
      <c r="A918" s="1">
        <f>IFERROR(__xludf.DUMMYFUNCTION("""COMPUTED_VALUE"""),821478.0)</f>
        <v>821478</v>
      </c>
      <c r="B918" s="2">
        <f>IFERROR(__xludf.DUMMYFUNCTION("""COMPUTED_VALUE"""),42744.56701668178)</f>
        <v>42744.56702</v>
      </c>
      <c r="C918" s="1" t="str">
        <f>IFERROR(__xludf.DUMMYFUNCTION("""COMPUTED_VALUE"""),"treatment")</f>
        <v>treatment</v>
      </c>
      <c r="D918" s="1" t="str">
        <f>IFERROR(__xludf.DUMMYFUNCTION("""COMPUTED_VALUE"""),"new_page")</f>
        <v>new_page</v>
      </c>
      <c r="E918" s="1">
        <f>IFERROR(__xludf.DUMMYFUNCTION("""COMPUTED_VALUE"""),0.0)</f>
        <v>0</v>
      </c>
    </row>
    <row r="919">
      <c r="A919" s="1">
        <f>IFERROR(__xludf.DUMMYFUNCTION("""COMPUTED_VALUE"""),799598.0)</f>
        <v>799598</v>
      </c>
      <c r="B919" s="2">
        <f>IFERROR(__xludf.DUMMYFUNCTION("""COMPUTED_VALUE"""),42749.83424845198)</f>
        <v>42749.83425</v>
      </c>
      <c r="C919" s="1" t="str">
        <f>IFERROR(__xludf.DUMMYFUNCTION("""COMPUTED_VALUE"""),"treatment")</f>
        <v>treatment</v>
      </c>
      <c r="D919" s="1" t="str">
        <f>IFERROR(__xludf.DUMMYFUNCTION("""COMPUTED_VALUE"""),"new_page")</f>
        <v>new_page</v>
      </c>
      <c r="E919" s="1">
        <f>IFERROR(__xludf.DUMMYFUNCTION("""COMPUTED_VALUE"""),1.0)</f>
        <v>1</v>
      </c>
    </row>
    <row r="920">
      <c r="A920" s="1">
        <f>IFERROR(__xludf.DUMMYFUNCTION("""COMPUTED_VALUE"""),836945.0)</f>
        <v>836945</v>
      </c>
      <c r="B920" s="2">
        <f>IFERROR(__xludf.DUMMYFUNCTION("""COMPUTED_VALUE"""),42753.509117209906)</f>
        <v>42753.50912</v>
      </c>
      <c r="C920" s="1" t="str">
        <f>IFERROR(__xludf.DUMMYFUNCTION("""COMPUTED_VALUE"""),"control")</f>
        <v>control</v>
      </c>
      <c r="D920" s="1" t="str">
        <f>IFERROR(__xludf.DUMMYFUNCTION("""COMPUTED_VALUE"""),"old_page")</f>
        <v>old_page</v>
      </c>
      <c r="E920" s="1">
        <f>IFERROR(__xludf.DUMMYFUNCTION("""COMPUTED_VALUE"""),0.0)</f>
        <v>0</v>
      </c>
    </row>
    <row r="921">
      <c r="A921" s="1">
        <f>IFERROR(__xludf.DUMMYFUNCTION("""COMPUTED_VALUE"""),867222.0)</f>
        <v>867222</v>
      </c>
      <c r="B921" s="2">
        <f>IFERROR(__xludf.DUMMYFUNCTION("""COMPUTED_VALUE"""),42744.706247625414)</f>
        <v>42744.70625</v>
      </c>
      <c r="C921" s="1" t="str">
        <f>IFERROR(__xludf.DUMMYFUNCTION("""COMPUTED_VALUE"""),"control")</f>
        <v>control</v>
      </c>
      <c r="D921" s="1" t="str">
        <f>IFERROR(__xludf.DUMMYFUNCTION("""COMPUTED_VALUE"""),"old_page")</f>
        <v>old_page</v>
      </c>
      <c r="E921" s="1">
        <f>IFERROR(__xludf.DUMMYFUNCTION("""COMPUTED_VALUE"""),0.0)</f>
        <v>0</v>
      </c>
    </row>
    <row r="922">
      <c r="A922" s="1">
        <f>IFERROR(__xludf.DUMMYFUNCTION("""COMPUTED_VALUE"""),894393.0)</f>
        <v>894393</v>
      </c>
      <c r="B922" s="2">
        <f>IFERROR(__xludf.DUMMYFUNCTION("""COMPUTED_VALUE"""),42742.142164734956)</f>
        <v>42742.14216</v>
      </c>
      <c r="C922" s="1" t="str">
        <f>IFERROR(__xludf.DUMMYFUNCTION("""COMPUTED_VALUE"""),"control")</f>
        <v>control</v>
      </c>
      <c r="D922" s="1" t="str">
        <f>IFERROR(__xludf.DUMMYFUNCTION("""COMPUTED_VALUE"""),"old_page")</f>
        <v>old_page</v>
      </c>
      <c r="E922" s="1">
        <f>IFERROR(__xludf.DUMMYFUNCTION("""COMPUTED_VALUE"""),1.0)</f>
        <v>1</v>
      </c>
    </row>
    <row r="923">
      <c r="A923" s="1">
        <f>IFERROR(__xludf.DUMMYFUNCTION("""COMPUTED_VALUE"""),819675.0)</f>
        <v>819675</v>
      </c>
      <c r="B923" s="2">
        <f>IFERROR(__xludf.DUMMYFUNCTION("""COMPUTED_VALUE"""),42745.878088815894)</f>
        <v>42745.87809</v>
      </c>
      <c r="C923" s="1" t="str">
        <f>IFERROR(__xludf.DUMMYFUNCTION("""COMPUTED_VALUE"""),"treatment")</f>
        <v>treatment</v>
      </c>
      <c r="D923" s="1" t="str">
        <f>IFERROR(__xludf.DUMMYFUNCTION("""COMPUTED_VALUE"""),"new_page")</f>
        <v>new_page</v>
      </c>
      <c r="E923" s="1">
        <f>IFERROR(__xludf.DUMMYFUNCTION("""COMPUTED_VALUE"""),0.0)</f>
        <v>0</v>
      </c>
    </row>
    <row r="924">
      <c r="A924" s="1">
        <f>IFERROR(__xludf.DUMMYFUNCTION("""COMPUTED_VALUE"""),880013.0)</f>
        <v>880013</v>
      </c>
      <c r="B924" s="2">
        <f>IFERROR(__xludf.DUMMYFUNCTION("""COMPUTED_VALUE"""),42750.55020749219)</f>
        <v>42750.55021</v>
      </c>
      <c r="C924" s="1" t="str">
        <f>IFERROR(__xludf.DUMMYFUNCTION("""COMPUTED_VALUE"""),"treatment")</f>
        <v>treatment</v>
      </c>
      <c r="D924" s="1" t="str">
        <f>IFERROR(__xludf.DUMMYFUNCTION("""COMPUTED_VALUE"""),"new_page")</f>
        <v>new_page</v>
      </c>
      <c r="E924" s="1">
        <f>IFERROR(__xludf.DUMMYFUNCTION("""COMPUTED_VALUE"""),0.0)</f>
        <v>0</v>
      </c>
    </row>
    <row r="925">
      <c r="A925" s="1">
        <f>IFERROR(__xludf.DUMMYFUNCTION("""COMPUTED_VALUE"""),713375.0)</f>
        <v>713375</v>
      </c>
      <c r="B925" s="2">
        <f>IFERROR(__xludf.DUMMYFUNCTION("""COMPUTED_VALUE"""),42750.76162697032)</f>
        <v>42750.76163</v>
      </c>
      <c r="C925" s="1" t="str">
        <f>IFERROR(__xludf.DUMMYFUNCTION("""COMPUTED_VALUE"""),"control")</f>
        <v>control</v>
      </c>
      <c r="D925" s="1" t="str">
        <f>IFERROR(__xludf.DUMMYFUNCTION("""COMPUTED_VALUE"""),"old_page")</f>
        <v>old_page</v>
      </c>
      <c r="E925" s="1">
        <f>IFERROR(__xludf.DUMMYFUNCTION("""COMPUTED_VALUE"""),0.0)</f>
        <v>0</v>
      </c>
    </row>
    <row r="926">
      <c r="A926" s="1">
        <f>IFERROR(__xludf.DUMMYFUNCTION("""COMPUTED_VALUE"""),912917.0)</f>
        <v>912917</v>
      </c>
      <c r="B926" s="2">
        <f>IFERROR(__xludf.DUMMYFUNCTION("""COMPUTED_VALUE"""),42755.018777190395)</f>
        <v>42755.01878</v>
      </c>
      <c r="C926" s="1" t="str">
        <f>IFERROR(__xludf.DUMMYFUNCTION("""COMPUTED_VALUE"""),"control")</f>
        <v>control</v>
      </c>
      <c r="D926" s="1" t="str">
        <f>IFERROR(__xludf.DUMMYFUNCTION("""COMPUTED_VALUE"""),"old_page")</f>
        <v>old_page</v>
      </c>
      <c r="E926" s="1">
        <f>IFERROR(__xludf.DUMMYFUNCTION("""COMPUTED_VALUE"""),0.0)</f>
        <v>0</v>
      </c>
    </row>
    <row r="927">
      <c r="A927" s="1">
        <f>IFERROR(__xludf.DUMMYFUNCTION("""COMPUTED_VALUE"""),683567.0)</f>
        <v>683567</v>
      </c>
      <c r="B927" s="2">
        <f>IFERROR(__xludf.DUMMYFUNCTION("""COMPUTED_VALUE"""),42746.64672232382)</f>
        <v>42746.64672</v>
      </c>
      <c r="C927" s="1" t="str">
        <f>IFERROR(__xludf.DUMMYFUNCTION("""COMPUTED_VALUE"""),"control")</f>
        <v>control</v>
      </c>
      <c r="D927" s="1" t="str">
        <f>IFERROR(__xludf.DUMMYFUNCTION("""COMPUTED_VALUE"""),"old_page")</f>
        <v>old_page</v>
      </c>
      <c r="E927" s="1">
        <f>IFERROR(__xludf.DUMMYFUNCTION("""COMPUTED_VALUE"""),0.0)</f>
        <v>0</v>
      </c>
    </row>
    <row r="928">
      <c r="A928" s="1">
        <f>IFERROR(__xludf.DUMMYFUNCTION("""COMPUTED_VALUE"""),852028.0)</f>
        <v>852028</v>
      </c>
      <c r="B928" s="2">
        <f>IFERROR(__xludf.DUMMYFUNCTION("""COMPUTED_VALUE"""),42753.76368297689)</f>
        <v>42753.76368</v>
      </c>
      <c r="C928" s="1" t="str">
        <f>IFERROR(__xludf.DUMMYFUNCTION("""COMPUTED_VALUE"""),"control")</f>
        <v>control</v>
      </c>
      <c r="D928" s="1" t="str">
        <f>IFERROR(__xludf.DUMMYFUNCTION("""COMPUTED_VALUE"""),"old_page")</f>
        <v>old_page</v>
      </c>
      <c r="E928" s="1">
        <f>IFERROR(__xludf.DUMMYFUNCTION("""COMPUTED_VALUE"""),0.0)</f>
        <v>0</v>
      </c>
    </row>
    <row r="929">
      <c r="A929" s="1">
        <f>IFERROR(__xludf.DUMMYFUNCTION("""COMPUTED_VALUE"""),931141.0)</f>
        <v>931141</v>
      </c>
      <c r="B929" s="2">
        <f>IFERROR(__xludf.DUMMYFUNCTION("""COMPUTED_VALUE"""),42746.50815081599)</f>
        <v>42746.50815</v>
      </c>
      <c r="C929" s="1" t="str">
        <f>IFERROR(__xludf.DUMMYFUNCTION("""COMPUTED_VALUE"""),"treatment")</f>
        <v>treatment</v>
      </c>
      <c r="D929" s="1" t="str">
        <f>IFERROR(__xludf.DUMMYFUNCTION("""COMPUTED_VALUE"""),"new_page")</f>
        <v>new_page</v>
      </c>
      <c r="E929" s="1">
        <f>IFERROR(__xludf.DUMMYFUNCTION("""COMPUTED_VALUE"""),0.0)</f>
        <v>0</v>
      </c>
    </row>
    <row r="930">
      <c r="A930" s="1">
        <f>IFERROR(__xludf.DUMMYFUNCTION("""COMPUTED_VALUE"""),855031.0)</f>
        <v>855031</v>
      </c>
      <c r="B930" s="2">
        <f>IFERROR(__xludf.DUMMYFUNCTION("""COMPUTED_VALUE"""),42753.13290809263)</f>
        <v>42753.13291</v>
      </c>
      <c r="C930" s="1" t="str">
        <f>IFERROR(__xludf.DUMMYFUNCTION("""COMPUTED_VALUE"""),"treatment")</f>
        <v>treatment</v>
      </c>
      <c r="D930" s="1" t="str">
        <f>IFERROR(__xludf.DUMMYFUNCTION("""COMPUTED_VALUE"""),"new_page")</f>
        <v>new_page</v>
      </c>
      <c r="E930" s="1">
        <f>IFERROR(__xludf.DUMMYFUNCTION("""COMPUTED_VALUE"""),1.0)</f>
        <v>1</v>
      </c>
    </row>
    <row r="931">
      <c r="A931" s="1">
        <f>IFERROR(__xludf.DUMMYFUNCTION("""COMPUTED_VALUE"""),769072.0)</f>
        <v>769072</v>
      </c>
      <c r="B931" s="2">
        <f>IFERROR(__xludf.DUMMYFUNCTION("""COMPUTED_VALUE"""),42747.71432014653)</f>
        <v>42747.71432</v>
      </c>
      <c r="C931" s="1" t="str">
        <f>IFERROR(__xludf.DUMMYFUNCTION("""COMPUTED_VALUE"""),"control")</f>
        <v>control</v>
      </c>
      <c r="D931" s="1" t="str">
        <f>IFERROR(__xludf.DUMMYFUNCTION("""COMPUTED_VALUE"""),"old_page")</f>
        <v>old_page</v>
      </c>
      <c r="E931" s="1">
        <f>IFERROR(__xludf.DUMMYFUNCTION("""COMPUTED_VALUE"""),0.0)</f>
        <v>0</v>
      </c>
    </row>
    <row r="932">
      <c r="A932" s="1">
        <f>IFERROR(__xludf.DUMMYFUNCTION("""COMPUTED_VALUE"""),856875.0)</f>
        <v>856875</v>
      </c>
      <c r="B932" s="2">
        <f>IFERROR(__xludf.DUMMYFUNCTION("""COMPUTED_VALUE"""),42743.696241267266)</f>
        <v>42743.69624</v>
      </c>
      <c r="C932" s="1" t="str">
        <f>IFERROR(__xludf.DUMMYFUNCTION("""COMPUTED_VALUE"""),"control")</f>
        <v>control</v>
      </c>
      <c r="D932" s="1" t="str">
        <f>IFERROR(__xludf.DUMMYFUNCTION("""COMPUTED_VALUE"""),"old_page")</f>
        <v>old_page</v>
      </c>
      <c r="E932" s="1">
        <f>IFERROR(__xludf.DUMMYFUNCTION("""COMPUTED_VALUE"""),0.0)</f>
        <v>0</v>
      </c>
    </row>
    <row r="933">
      <c r="A933" s="1">
        <f>IFERROR(__xludf.DUMMYFUNCTION("""COMPUTED_VALUE"""),654541.0)</f>
        <v>654541</v>
      </c>
      <c r="B933" s="2">
        <f>IFERROR(__xludf.DUMMYFUNCTION("""COMPUTED_VALUE"""),42742.296467511085)</f>
        <v>42742.29647</v>
      </c>
      <c r="C933" s="1" t="str">
        <f>IFERROR(__xludf.DUMMYFUNCTION("""COMPUTED_VALUE"""),"treatment")</f>
        <v>treatment</v>
      </c>
      <c r="D933" s="1" t="str">
        <f>IFERROR(__xludf.DUMMYFUNCTION("""COMPUTED_VALUE"""),"new_page")</f>
        <v>new_page</v>
      </c>
      <c r="E933" s="1">
        <f>IFERROR(__xludf.DUMMYFUNCTION("""COMPUTED_VALUE"""),0.0)</f>
        <v>0</v>
      </c>
    </row>
    <row r="934">
      <c r="A934" s="1">
        <f>IFERROR(__xludf.DUMMYFUNCTION("""COMPUTED_VALUE"""),857725.0)</f>
        <v>857725</v>
      </c>
      <c r="B934" s="2">
        <f>IFERROR(__xludf.DUMMYFUNCTION("""COMPUTED_VALUE"""),42757.76271176757)</f>
        <v>42757.76271</v>
      </c>
      <c r="C934" s="1" t="str">
        <f>IFERROR(__xludf.DUMMYFUNCTION("""COMPUTED_VALUE"""),"treatment")</f>
        <v>treatment</v>
      </c>
      <c r="D934" s="1" t="str">
        <f>IFERROR(__xludf.DUMMYFUNCTION("""COMPUTED_VALUE"""),"new_page")</f>
        <v>new_page</v>
      </c>
      <c r="E934" s="1">
        <f>IFERROR(__xludf.DUMMYFUNCTION("""COMPUTED_VALUE"""),0.0)</f>
        <v>0</v>
      </c>
    </row>
    <row r="935">
      <c r="A935" s="1">
        <f>IFERROR(__xludf.DUMMYFUNCTION("""COMPUTED_VALUE"""),721406.0)</f>
        <v>721406</v>
      </c>
      <c r="B935" s="2">
        <f>IFERROR(__xludf.DUMMYFUNCTION("""COMPUTED_VALUE"""),42758.55545510677)</f>
        <v>42758.55546</v>
      </c>
      <c r="C935" s="1" t="str">
        <f>IFERROR(__xludf.DUMMYFUNCTION("""COMPUTED_VALUE"""),"control")</f>
        <v>control</v>
      </c>
      <c r="D935" s="1" t="str">
        <f>IFERROR(__xludf.DUMMYFUNCTION("""COMPUTED_VALUE"""),"old_page")</f>
        <v>old_page</v>
      </c>
      <c r="E935" s="1">
        <f>IFERROR(__xludf.DUMMYFUNCTION("""COMPUTED_VALUE"""),1.0)</f>
        <v>1</v>
      </c>
    </row>
    <row r="936">
      <c r="A936" s="1">
        <f>IFERROR(__xludf.DUMMYFUNCTION("""COMPUTED_VALUE"""),706330.0)</f>
        <v>706330</v>
      </c>
      <c r="B936" s="2">
        <f>IFERROR(__xludf.DUMMYFUNCTION("""COMPUTED_VALUE"""),42758.89988288567)</f>
        <v>42758.89988</v>
      </c>
      <c r="C936" s="1" t="str">
        <f>IFERROR(__xludf.DUMMYFUNCTION("""COMPUTED_VALUE"""),"control")</f>
        <v>control</v>
      </c>
      <c r="D936" s="1" t="str">
        <f>IFERROR(__xludf.DUMMYFUNCTION("""COMPUTED_VALUE"""),"old_page")</f>
        <v>old_page</v>
      </c>
      <c r="E936" s="1">
        <f>IFERROR(__xludf.DUMMYFUNCTION("""COMPUTED_VALUE"""),0.0)</f>
        <v>0</v>
      </c>
    </row>
    <row r="937">
      <c r="A937" s="1">
        <f>IFERROR(__xludf.DUMMYFUNCTION("""COMPUTED_VALUE"""),927738.0)</f>
        <v>927738</v>
      </c>
      <c r="B937" s="2">
        <f>IFERROR(__xludf.DUMMYFUNCTION("""COMPUTED_VALUE"""),42756.51231140334)</f>
        <v>42756.51231</v>
      </c>
      <c r="C937" s="1" t="str">
        <f>IFERROR(__xludf.DUMMYFUNCTION("""COMPUTED_VALUE"""),"treatment")</f>
        <v>treatment</v>
      </c>
      <c r="D937" s="1" t="str">
        <f>IFERROR(__xludf.DUMMYFUNCTION("""COMPUTED_VALUE"""),"new_page")</f>
        <v>new_page</v>
      </c>
      <c r="E937" s="1">
        <f>IFERROR(__xludf.DUMMYFUNCTION("""COMPUTED_VALUE"""),0.0)</f>
        <v>0</v>
      </c>
    </row>
    <row r="938">
      <c r="A938" s="1">
        <f>IFERROR(__xludf.DUMMYFUNCTION("""COMPUTED_VALUE"""),834299.0)</f>
        <v>834299</v>
      </c>
      <c r="B938" s="2">
        <f>IFERROR(__xludf.DUMMYFUNCTION("""COMPUTED_VALUE"""),42747.46694505488)</f>
        <v>42747.46695</v>
      </c>
      <c r="C938" s="1" t="str">
        <f>IFERROR(__xludf.DUMMYFUNCTION("""COMPUTED_VALUE"""),"treatment")</f>
        <v>treatment</v>
      </c>
      <c r="D938" s="1" t="str">
        <f>IFERROR(__xludf.DUMMYFUNCTION("""COMPUTED_VALUE"""),"new_page")</f>
        <v>new_page</v>
      </c>
      <c r="E938" s="1">
        <f>IFERROR(__xludf.DUMMYFUNCTION("""COMPUTED_VALUE"""),0.0)</f>
        <v>0</v>
      </c>
    </row>
    <row r="939">
      <c r="A939" s="1">
        <f>IFERROR(__xludf.DUMMYFUNCTION("""COMPUTED_VALUE"""),895183.0)</f>
        <v>895183</v>
      </c>
      <c r="B939" s="2">
        <f>IFERROR(__xludf.DUMMYFUNCTION("""COMPUTED_VALUE"""),42743.541405126285)</f>
        <v>42743.54141</v>
      </c>
      <c r="C939" s="1" t="str">
        <f>IFERROR(__xludf.DUMMYFUNCTION("""COMPUTED_VALUE"""),"control")</f>
        <v>control</v>
      </c>
      <c r="D939" s="1" t="str">
        <f>IFERROR(__xludf.DUMMYFUNCTION("""COMPUTED_VALUE"""),"old_page")</f>
        <v>old_page</v>
      </c>
      <c r="E939" s="1">
        <f>IFERROR(__xludf.DUMMYFUNCTION("""COMPUTED_VALUE"""),0.0)</f>
        <v>0</v>
      </c>
    </row>
    <row r="940">
      <c r="A940" s="1">
        <f>IFERROR(__xludf.DUMMYFUNCTION("""COMPUTED_VALUE"""),711955.0)</f>
        <v>711955</v>
      </c>
      <c r="B940" s="2">
        <f>IFERROR(__xludf.DUMMYFUNCTION("""COMPUTED_VALUE"""),42756.9488890626)</f>
        <v>42756.94889</v>
      </c>
      <c r="C940" s="1" t="str">
        <f>IFERROR(__xludf.DUMMYFUNCTION("""COMPUTED_VALUE"""),"treatment")</f>
        <v>treatment</v>
      </c>
      <c r="D940" s="1" t="str">
        <f>IFERROR(__xludf.DUMMYFUNCTION("""COMPUTED_VALUE"""),"new_page")</f>
        <v>new_page</v>
      </c>
      <c r="E940" s="1">
        <f>IFERROR(__xludf.DUMMYFUNCTION("""COMPUTED_VALUE"""),1.0)</f>
        <v>1</v>
      </c>
    </row>
    <row r="941">
      <c r="A941" s="1">
        <f>IFERROR(__xludf.DUMMYFUNCTION("""COMPUTED_VALUE"""),875231.0)</f>
        <v>875231</v>
      </c>
      <c r="B941" s="2">
        <f>IFERROR(__xludf.DUMMYFUNCTION("""COMPUTED_VALUE"""),42747.59238026882)</f>
        <v>42747.59238</v>
      </c>
      <c r="C941" s="1" t="str">
        <f>IFERROR(__xludf.DUMMYFUNCTION("""COMPUTED_VALUE"""),"control")</f>
        <v>control</v>
      </c>
      <c r="D941" s="1" t="str">
        <f>IFERROR(__xludf.DUMMYFUNCTION("""COMPUTED_VALUE"""),"old_page")</f>
        <v>old_page</v>
      </c>
      <c r="E941" s="1">
        <f>IFERROR(__xludf.DUMMYFUNCTION("""COMPUTED_VALUE"""),0.0)</f>
        <v>0</v>
      </c>
    </row>
    <row r="942">
      <c r="A942" s="1">
        <f>IFERROR(__xludf.DUMMYFUNCTION("""COMPUTED_VALUE"""),704956.0)</f>
        <v>704956</v>
      </c>
      <c r="B942" s="2">
        <f>IFERROR(__xludf.DUMMYFUNCTION("""COMPUTED_VALUE"""),42744.024994801664)</f>
        <v>42744.02499</v>
      </c>
      <c r="C942" s="1" t="str">
        <f>IFERROR(__xludf.DUMMYFUNCTION("""COMPUTED_VALUE"""),"control")</f>
        <v>control</v>
      </c>
      <c r="D942" s="1" t="str">
        <f>IFERROR(__xludf.DUMMYFUNCTION("""COMPUTED_VALUE"""),"old_page")</f>
        <v>old_page</v>
      </c>
      <c r="E942" s="1">
        <f>IFERROR(__xludf.DUMMYFUNCTION("""COMPUTED_VALUE"""),1.0)</f>
        <v>1</v>
      </c>
    </row>
    <row r="943">
      <c r="A943" s="1">
        <f>IFERROR(__xludf.DUMMYFUNCTION("""COMPUTED_VALUE"""),665732.0)</f>
        <v>665732</v>
      </c>
      <c r="B943" s="2">
        <f>IFERROR(__xludf.DUMMYFUNCTION("""COMPUTED_VALUE"""),42751.20284212128)</f>
        <v>42751.20284</v>
      </c>
      <c r="C943" s="1" t="str">
        <f>IFERROR(__xludf.DUMMYFUNCTION("""COMPUTED_VALUE"""),"control")</f>
        <v>control</v>
      </c>
      <c r="D943" s="1" t="str">
        <f>IFERROR(__xludf.DUMMYFUNCTION("""COMPUTED_VALUE"""),"old_page")</f>
        <v>old_page</v>
      </c>
      <c r="E943" s="1">
        <f>IFERROR(__xludf.DUMMYFUNCTION("""COMPUTED_VALUE"""),0.0)</f>
        <v>0</v>
      </c>
    </row>
    <row r="944">
      <c r="A944" s="1">
        <f>IFERROR(__xludf.DUMMYFUNCTION("""COMPUTED_VALUE"""),635196.0)</f>
        <v>635196</v>
      </c>
      <c r="B944" s="2">
        <f>IFERROR(__xludf.DUMMYFUNCTION("""COMPUTED_VALUE"""),42745.675738177764)</f>
        <v>42745.67574</v>
      </c>
      <c r="C944" s="1" t="str">
        <f>IFERROR(__xludf.DUMMYFUNCTION("""COMPUTED_VALUE"""),"control")</f>
        <v>control</v>
      </c>
      <c r="D944" s="1" t="str">
        <f>IFERROR(__xludf.DUMMYFUNCTION("""COMPUTED_VALUE"""),"old_page")</f>
        <v>old_page</v>
      </c>
      <c r="E944" s="1">
        <f>IFERROR(__xludf.DUMMYFUNCTION("""COMPUTED_VALUE"""),0.0)</f>
        <v>0</v>
      </c>
    </row>
    <row r="945">
      <c r="A945" s="1">
        <f>IFERROR(__xludf.DUMMYFUNCTION("""COMPUTED_VALUE"""),890258.0)</f>
        <v>890258</v>
      </c>
      <c r="B945" s="2">
        <f>IFERROR(__xludf.DUMMYFUNCTION("""COMPUTED_VALUE"""),42745.07797202725)</f>
        <v>42745.07797</v>
      </c>
      <c r="C945" s="1" t="str">
        <f>IFERROR(__xludf.DUMMYFUNCTION("""COMPUTED_VALUE"""),"treatment")</f>
        <v>treatment</v>
      </c>
      <c r="D945" s="1" t="str">
        <f>IFERROR(__xludf.DUMMYFUNCTION("""COMPUTED_VALUE"""),"new_page")</f>
        <v>new_page</v>
      </c>
      <c r="E945" s="1">
        <f>IFERROR(__xludf.DUMMYFUNCTION("""COMPUTED_VALUE"""),0.0)</f>
        <v>0</v>
      </c>
    </row>
    <row r="946">
      <c r="A946" s="1">
        <f>IFERROR(__xludf.DUMMYFUNCTION("""COMPUTED_VALUE"""),641611.0)</f>
        <v>641611</v>
      </c>
      <c r="B946" s="2">
        <f>IFERROR(__xludf.DUMMYFUNCTION("""COMPUTED_VALUE"""),42748.72434553029)</f>
        <v>42748.72435</v>
      </c>
      <c r="C946" s="1" t="str">
        <f>IFERROR(__xludf.DUMMYFUNCTION("""COMPUTED_VALUE"""),"treatment")</f>
        <v>treatment</v>
      </c>
      <c r="D946" s="1" t="str">
        <f>IFERROR(__xludf.DUMMYFUNCTION("""COMPUTED_VALUE"""),"new_page")</f>
        <v>new_page</v>
      </c>
      <c r="E946" s="1">
        <f>IFERROR(__xludf.DUMMYFUNCTION("""COMPUTED_VALUE"""),0.0)</f>
        <v>0</v>
      </c>
    </row>
    <row r="947">
      <c r="A947" s="1">
        <f>IFERROR(__xludf.DUMMYFUNCTION("""COMPUTED_VALUE"""),810660.0)</f>
        <v>810660</v>
      </c>
      <c r="B947" s="2">
        <f>IFERROR(__xludf.DUMMYFUNCTION("""COMPUTED_VALUE"""),42739.7596992246)</f>
        <v>42739.7597</v>
      </c>
      <c r="C947" s="1" t="str">
        <f>IFERROR(__xludf.DUMMYFUNCTION("""COMPUTED_VALUE"""),"treatment")</f>
        <v>treatment</v>
      </c>
      <c r="D947" s="1" t="str">
        <f>IFERROR(__xludf.DUMMYFUNCTION("""COMPUTED_VALUE"""),"new_page")</f>
        <v>new_page</v>
      </c>
      <c r="E947" s="1">
        <f>IFERROR(__xludf.DUMMYFUNCTION("""COMPUTED_VALUE"""),1.0)</f>
        <v>1</v>
      </c>
    </row>
    <row r="948">
      <c r="A948" s="1">
        <f>IFERROR(__xludf.DUMMYFUNCTION("""COMPUTED_VALUE"""),791293.0)</f>
        <v>791293</v>
      </c>
      <c r="B948" s="2">
        <f>IFERROR(__xludf.DUMMYFUNCTION("""COMPUTED_VALUE"""),42744.66009746175)</f>
        <v>42744.6601</v>
      </c>
      <c r="C948" s="1" t="str">
        <f>IFERROR(__xludf.DUMMYFUNCTION("""COMPUTED_VALUE"""),"treatment")</f>
        <v>treatment</v>
      </c>
      <c r="D948" s="1" t="str">
        <f>IFERROR(__xludf.DUMMYFUNCTION("""COMPUTED_VALUE"""),"new_page")</f>
        <v>new_page</v>
      </c>
      <c r="E948" s="1">
        <f>IFERROR(__xludf.DUMMYFUNCTION("""COMPUTED_VALUE"""),0.0)</f>
        <v>0</v>
      </c>
    </row>
    <row r="949">
      <c r="A949" s="1">
        <f>IFERROR(__xludf.DUMMYFUNCTION("""COMPUTED_VALUE"""),824203.0)</f>
        <v>824203</v>
      </c>
      <c r="B949" s="2">
        <f>IFERROR(__xludf.DUMMYFUNCTION("""COMPUTED_VALUE"""),42741.98366188125)</f>
        <v>42741.98366</v>
      </c>
      <c r="C949" s="1" t="str">
        <f>IFERROR(__xludf.DUMMYFUNCTION("""COMPUTED_VALUE"""),"treatment")</f>
        <v>treatment</v>
      </c>
      <c r="D949" s="1" t="str">
        <f>IFERROR(__xludf.DUMMYFUNCTION("""COMPUTED_VALUE"""),"new_page")</f>
        <v>new_page</v>
      </c>
      <c r="E949" s="1">
        <f>IFERROR(__xludf.DUMMYFUNCTION("""COMPUTED_VALUE"""),0.0)</f>
        <v>0</v>
      </c>
    </row>
    <row r="950">
      <c r="A950" s="1">
        <f>IFERROR(__xludf.DUMMYFUNCTION("""COMPUTED_VALUE"""),755345.0)</f>
        <v>755345</v>
      </c>
      <c r="B950" s="2">
        <f>IFERROR(__xludf.DUMMYFUNCTION("""COMPUTED_VALUE"""),42749.62773804152)</f>
        <v>42749.62774</v>
      </c>
      <c r="C950" s="1" t="str">
        <f>IFERROR(__xludf.DUMMYFUNCTION("""COMPUTED_VALUE"""),"control")</f>
        <v>control</v>
      </c>
      <c r="D950" s="1" t="str">
        <f>IFERROR(__xludf.DUMMYFUNCTION("""COMPUTED_VALUE"""),"old_page")</f>
        <v>old_page</v>
      </c>
      <c r="E950" s="1">
        <f>IFERROR(__xludf.DUMMYFUNCTION("""COMPUTED_VALUE"""),0.0)</f>
        <v>0</v>
      </c>
    </row>
    <row r="951">
      <c r="A951" s="1">
        <f>IFERROR(__xludf.DUMMYFUNCTION("""COMPUTED_VALUE"""),641947.0)</f>
        <v>641947</v>
      </c>
      <c r="B951" s="2">
        <f>IFERROR(__xludf.DUMMYFUNCTION("""COMPUTED_VALUE"""),42741.65676355248)</f>
        <v>42741.65676</v>
      </c>
      <c r="C951" s="1" t="str">
        <f>IFERROR(__xludf.DUMMYFUNCTION("""COMPUTED_VALUE"""),"treatment")</f>
        <v>treatment</v>
      </c>
      <c r="D951" s="1" t="str">
        <f>IFERROR(__xludf.DUMMYFUNCTION("""COMPUTED_VALUE"""),"new_page")</f>
        <v>new_page</v>
      </c>
      <c r="E951" s="1">
        <f>IFERROR(__xludf.DUMMYFUNCTION("""COMPUTED_VALUE"""),0.0)</f>
        <v>0</v>
      </c>
    </row>
    <row r="952">
      <c r="A952" s="1">
        <f>IFERROR(__xludf.DUMMYFUNCTION("""COMPUTED_VALUE"""),851035.0)</f>
        <v>851035</v>
      </c>
      <c r="B952" s="2">
        <f>IFERROR(__xludf.DUMMYFUNCTION("""COMPUTED_VALUE"""),42746.31558675532)</f>
        <v>42746.31559</v>
      </c>
      <c r="C952" s="1" t="str">
        <f>IFERROR(__xludf.DUMMYFUNCTION("""COMPUTED_VALUE"""),"control")</f>
        <v>control</v>
      </c>
      <c r="D952" s="1" t="str">
        <f>IFERROR(__xludf.DUMMYFUNCTION("""COMPUTED_VALUE"""),"old_page")</f>
        <v>old_page</v>
      </c>
      <c r="E952" s="1">
        <f>IFERROR(__xludf.DUMMYFUNCTION("""COMPUTED_VALUE"""),0.0)</f>
        <v>0</v>
      </c>
    </row>
    <row r="953">
      <c r="A953" s="1">
        <f>IFERROR(__xludf.DUMMYFUNCTION("""COMPUTED_VALUE"""),822827.0)</f>
        <v>822827</v>
      </c>
      <c r="B953" s="2">
        <f>IFERROR(__xludf.DUMMYFUNCTION("""COMPUTED_VALUE"""),42741.49838500801)</f>
        <v>42741.49839</v>
      </c>
      <c r="C953" s="1" t="str">
        <f>IFERROR(__xludf.DUMMYFUNCTION("""COMPUTED_VALUE"""),"treatment")</f>
        <v>treatment</v>
      </c>
      <c r="D953" s="1" t="str">
        <f>IFERROR(__xludf.DUMMYFUNCTION("""COMPUTED_VALUE"""),"new_page")</f>
        <v>new_page</v>
      </c>
      <c r="E953" s="1">
        <f>IFERROR(__xludf.DUMMYFUNCTION("""COMPUTED_VALUE"""),0.0)</f>
        <v>0</v>
      </c>
    </row>
    <row r="954">
      <c r="A954" s="1">
        <f>IFERROR(__xludf.DUMMYFUNCTION("""COMPUTED_VALUE"""),929202.0)</f>
        <v>929202</v>
      </c>
      <c r="B954" s="2">
        <f>IFERROR(__xludf.DUMMYFUNCTION("""COMPUTED_VALUE"""),42746.24460706889)</f>
        <v>42746.24461</v>
      </c>
      <c r="C954" s="1" t="str">
        <f>IFERROR(__xludf.DUMMYFUNCTION("""COMPUTED_VALUE"""),"control")</f>
        <v>control</v>
      </c>
      <c r="D954" s="1" t="str">
        <f>IFERROR(__xludf.DUMMYFUNCTION("""COMPUTED_VALUE"""),"old_page")</f>
        <v>old_page</v>
      </c>
      <c r="E954" s="1">
        <f>IFERROR(__xludf.DUMMYFUNCTION("""COMPUTED_VALUE"""),0.0)</f>
        <v>0</v>
      </c>
    </row>
    <row r="955">
      <c r="A955" s="1">
        <f>IFERROR(__xludf.DUMMYFUNCTION("""COMPUTED_VALUE"""),642671.0)</f>
        <v>642671</v>
      </c>
      <c r="B955" s="2">
        <f>IFERROR(__xludf.DUMMYFUNCTION("""COMPUTED_VALUE"""),42741.64873980469)</f>
        <v>42741.64874</v>
      </c>
      <c r="C955" s="1" t="str">
        <f>IFERROR(__xludf.DUMMYFUNCTION("""COMPUTED_VALUE"""),"treatment")</f>
        <v>treatment</v>
      </c>
      <c r="D955" s="1" t="str">
        <f>IFERROR(__xludf.DUMMYFUNCTION("""COMPUTED_VALUE"""),"new_page")</f>
        <v>new_page</v>
      </c>
      <c r="E955" s="1">
        <f>IFERROR(__xludf.DUMMYFUNCTION("""COMPUTED_VALUE"""),0.0)</f>
        <v>0</v>
      </c>
    </row>
    <row r="956">
      <c r="A956" s="1">
        <f>IFERROR(__xludf.DUMMYFUNCTION("""COMPUTED_VALUE"""),777392.0)</f>
        <v>777392</v>
      </c>
      <c r="B956" s="2">
        <f>IFERROR(__xludf.DUMMYFUNCTION("""COMPUTED_VALUE"""),42737.93512289483)</f>
        <v>42737.93512</v>
      </c>
      <c r="C956" s="1" t="str">
        <f>IFERROR(__xludf.DUMMYFUNCTION("""COMPUTED_VALUE"""),"control")</f>
        <v>control</v>
      </c>
      <c r="D956" s="1" t="str">
        <f>IFERROR(__xludf.DUMMYFUNCTION("""COMPUTED_VALUE"""),"old_page")</f>
        <v>old_page</v>
      </c>
      <c r="E956" s="1">
        <f>IFERROR(__xludf.DUMMYFUNCTION("""COMPUTED_VALUE"""),0.0)</f>
        <v>0</v>
      </c>
    </row>
    <row r="957">
      <c r="A957" s="1">
        <f>IFERROR(__xludf.DUMMYFUNCTION("""COMPUTED_VALUE"""),683518.0)</f>
        <v>683518</v>
      </c>
      <c r="B957" s="2">
        <f>IFERROR(__xludf.DUMMYFUNCTION("""COMPUTED_VALUE"""),42754.80380764999)</f>
        <v>42754.80381</v>
      </c>
      <c r="C957" s="1" t="str">
        <f>IFERROR(__xludf.DUMMYFUNCTION("""COMPUTED_VALUE"""),"treatment")</f>
        <v>treatment</v>
      </c>
      <c r="D957" s="1" t="str">
        <f>IFERROR(__xludf.DUMMYFUNCTION("""COMPUTED_VALUE"""),"new_page")</f>
        <v>new_page</v>
      </c>
      <c r="E957" s="1">
        <f>IFERROR(__xludf.DUMMYFUNCTION("""COMPUTED_VALUE"""),0.0)</f>
        <v>0</v>
      </c>
    </row>
    <row r="958">
      <c r="A958" s="1">
        <f>IFERROR(__xludf.DUMMYFUNCTION("""COMPUTED_VALUE"""),723635.0)</f>
        <v>723635</v>
      </c>
      <c r="B958" s="2">
        <f>IFERROR(__xludf.DUMMYFUNCTION("""COMPUTED_VALUE"""),42755.507175030136)</f>
        <v>42755.50718</v>
      </c>
      <c r="C958" s="1" t="str">
        <f>IFERROR(__xludf.DUMMYFUNCTION("""COMPUTED_VALUE"""),"control")</f>
        <v>control</v>
      </c>
      <c r="D958" s="1" t="str">
        <f>IFERROR(__xludf.DUMMYFUNCTION("""COMPUTED_VALUE"""),"old_page")</f>
        <v>old_page</v>
      </c>
      <c r="E958" s="1">
        <f>IFERROR(__xludf.DUMMYFUNCTION("""COMPUTED_VALUE"""),0.0)</f>
        <v>0</v>
      </c>
    </row>
    <row r="959">
      <c r="A959" s="1">
        <f>IFERROR(__xludf.DUMMYFUNCTION("""COMPUTED_VALUE"""),880820.0)</f>
        <v>880820</v>
      </c>
      <c r="B959" s="2">
        <f>IFERROR(__xludf.DUMMYFUNCTION("""COMPUTED_VALUE"""),42739.7990974847)</f>
        <v>42739.7991</v>
      </c>
      <c r="C959" s="1" t="str">
        <f>IFERROR(__xludf.DUMMYFUNCTION("""COMPUTED_VALUE"""),"control")</f>
        <v>control</v>
      </c>
      <c r="D959" s="1" t="str">
        <f>IFERROR(__xludf.DUMMYFUNCTION("""COMPUTED_VALUE"""),"old_page")</f>
        <v>old_page</v>
      </c>
      <c r="E959" s="1">
        <f>IFERROR(__xludf.DUMMYFUNCTION("""COMPUTED_VALUE"""),1.0)</f>
        <v>1</v>
      </c>
    </row>
    <row r="960">
      <c r="A960" s="1">
        <f>IFERROR(__xludf.DUMMYFUNCTION("""COMPUTED_VALUE"""),723184.0)</f>
        <v>723184</v>
      </c>
      <c r="B960" s="2">
        <f>IFERROR(__xludf.DUMMYFUNCTION("""COMPUTED_VALUE"""),42738.134137467976)</f>
        <v>42738.13414</v>
      </c>
      <c r="C960" s="1" t="str">
        <f>IFERROR(__xludf.DUMMYFUNCTION("""COMPUTED_VALUE"""),"control")</f>
        <v>control</v>
      </c>
      <c r="D960" s="1" t="str">
        <f>IFERROR(__xludf.DUMMYFUNCTION("""COMPUTED_VALUE"""),"old_page")</f>
        <v>old_page</v>
      </c>
      <c r="E960" s="1">
        <f>IFERROR(__xludf.DUMMYFUNCTION("""COMPUTED_VALUE"""),0.0)</f>
        <v>0</v>
      </c>
    </row>
    <row r="961">
      <c r="A961" s="1">
        <f>IFERROR(__xludf.DUMMYFUNCTION("""COMPUTED_VALUE"""),889114.0)</f>
        <v>889114</v>
      </c>
      <c r="B961" s="2">
        <f>IFERROR(__xludf.DUMMYFUNCTION("""COMPUTED_VALUE"""),42751.12090332644)</f>
        <v>42751.1209</v>
      </c>
      <c r="C961" s="1" t="str">
        <f>IFERROR(__xludf.DUMMYFUNCTION("""COMPUTED_VALUE"""),"control")</f>
        <v>control</v>
      </c>
      <c r="D961" s="1" t="str">
        <f>IFERROR(__xludf.DUMMYFUNCTION("""COMPUTED_VALUE"""),"old_page")</f>
        <v>old_page</v>
      </c>
      <c r="E961" s="1">
        <f>IFERROR(__xludf.DUMMYFUNCTION("""COMPUTED_VALUE"""),0.0)</f>
        <v>0</v>
      </c>
    </row>
    <row r="962">
      <c r="A962" s="1">
        <f>IFERROR(__xludf.DUMMYFUNCTION("""COMPUTED_VALUE"""),893251.0)</f>
        <v>893251</v>
      </c>
      <c r="B962" s="2">
        <f>IFERROR(__xludf.DUMMYFUNCTION("""COMPUTED_VALUE"""),42742.80980257038)</f>
        <v>42742.8098</v>
      </c>
      <c r="C962" s="1" t="str">
        <f>IFERROR(__xludf.DUMMYFUNCTION("""COMPUTED_VALUE"""),"control")</f>
        <v>control</v>
      </c>
      <c r="D962" s="1" t="str">
        <f>IFERROR(__xludf.DUMMYFUNCTION("""COMPUTED_VALUE"""),"old_page")</f>
        <v>old_page</v>
      </c>
      <c r="E962" s="1">
        <f>IFERROR(__xludf.DUMMYFUNCTION("""COMPUTED_VALUE"""),0.0)</f>
        <v>0</v>
      </c>
    </row>
    <row r="963">
      <c r="A963" s="1">
        <f>IFERROR(__xludf.DUMMYFUNCTION("""COMPUTED_VALUE"""),881726.0)</f>
        <v>881726</v>
      </c>
      <c r="B963" s="2">
        <f>IFERROR(__xludf.DUMMYFUNCTION("""COMPUTED_VALUE"""),42755.00943689075)</f>
        <v>42755.00944</v>
      </c>
      <c r="C963" s="1" t="str">
        <f>IFERROR(__xludf.DUMMYFUNCTION("""COMPUTED_VALUE"""),"treatment")</f>
        <v>treatment</v>
      </c>
      <c r="D963" s="1" t="str">
        <f>IFERROR(__xludf.DUMMYFUNCTION("""COMPUTED_VALUE"""),"new_page")</f>
        <v>new_page</v>
      </c>
      <c r="E963" s="1">
        <f>IFERROR(__xludf.DUMMYFUNCTION("""COMPUTED_VALUE"""),0.0)</f>
        <v>0</v>
      </c>
    </row>
    <row r="964">
      <c r="A964" s="1">
        <f>IFERROR(__xludf.DUMMYFUNCTION("""COMPUTED_VALUE"""),762397.0)</f>
        <v>762397</v>
      </c>
      <c r="B964" s="2">
        <f>IFERROR(__xludf.DUMMYFUNCTION("""COMPUTED_VALUE"""),42748.189695404006)</f>
        <v>42748.1897</v>
      </c>
      <c r="C964" s="1" t="str">
        <f>IFERROR(__xludf.DUMMYFUNCTION("""COMPUTED_VALUE"""),"control")</f>
        <v>control</v>
      </c>
      <c r="D964" s="1" t="str">
        <f>IFERROR(__xludf.DUMMYFUNCTION("""COMPUTED_VALUE"""),"old_page")</f>
        <v>old_page</v>
      </c>
      <c r="E964" s="1">
        <f>IFERROR(__xludf.DUMMYFUNCTION("""COMPUTED_VALUE"""),0.0)</f>
        <v>0</v>
      </c>
    </row>
    <row r="965">
      <c r="A965" s="1">
        <f>IFERROR(__xludf.DUMMYFUNCTION("""COMPUTED_VALUE"""),642433.0)</f>
        <v>642433</v>
      </c>
      <c r="B965" s="2">
        <f>IFERROR(__xludf.DUMMYFUNCTION("""COMPUTED_VALUE"""),42750.4456920822)</f>
        <v>42750.44569</v>
      </c>
      <c r="C965" s="1" t="str">
        <f>IFERROR(__xludf.DUMMYFUNCTION("""COMPUTED_VALUE"""),"control")</f>
        <v>control</v>
      </c>
      <c r="D965" s="1" t="str">
        <f>IFERROR(__xludf.DUMMYFUNCTION("""COMPUTED_VALUE"""),"old_page")</f>
        <v>old_page</v>
      </c>
      <c r="E965" s="1">
        <f>IFERROR(__xludf.DUMMYFUNCTION("""COMPUTED_VALUE"""),0.0)</f>
        <v>0</v>
      </c>
    </row>
    <row r="966">
      <c r="A966" s="1">
        <f>IFERROR(__xludf.DUMMYFUNCTION("""COMPUTED_VALUE"""),855000.0)</f>
        <v>855000</v>
      </c>
      <c r="B966" s="2">
        <f>IFERROR(__xludf.DUMMYFUNCTION("""COMPUTED_VALUE"""),42745.014833387075)</f>
        <v>42745.01483</v>
      </c>
      <c r="C966" s="1" t="str">
        <f>IFERROR(__xludf.DUMMYFUNCTION("""COMPUTED_VALUE"""),"treatment")</f>
        <v>treatment</v>
      </c>
      <c r="D966" s="1" t="str">
        <f>IFERROR(__xludf.DUMMYFUNCTION("""COMPUTED_VALUE"""),"new_page")</f>
        <v>new_page</v>
      </c>
      <c r="E966" s="1">
        <f>IFERROR(__xludf.DUMMYFUNCTION("""COMPUTED_VALUE"""),0.0)</f>
        <v>0</v>
      </c>
    </row>
    <row r="967">
      <c r="A967" s="1">
        <f>IFERROR(__xludf.DUMMYFUNCTION("""COMPUTED_VALUE"""),858659.0)</f>
        <v>858659</v>
      </c>
      <c r="B967" s="2">
        <f>IFERROR(__xludf.DUMMYFUNCTION("""COMPUTED_VALUE"""),42743.08724772054)</f>
        <v>42743.08725</v>
      </c>
      <c r="C967" s="1" t="str">
        <f>IFERROR(__xludf.DUMMYFUNCTION("""COMPUTED_VALUE"""),"treatment")</f>
        <v>treatment</v>
      </c>
      <c r="D967" s="1" t="str">
        <f>IFERROR(__xludf.DUMMYFUNCTION("""COMPUTED_VALUE"""),"new_page")</f>
        <v>new_page</v>
      </c>
      <c r="E967" s="1">
        <f>IFERROR(__xludf.DUMMYFUNCTION("""COMPUTED_VALUE"""),0.0)</f>
        <v>0</v>
      </c>
    </row>
    <row r="968">
      <c r="A968" s="1">
        <f>IFERROR(__xludf.DUMMYFUNCTION("""COMPUTED_VALUE"""),888488.0)</f>
        <v>888488</v>
      </c>
      <c r="B968" s="2">
        <f>IFERROR(__xludf.DUMMYFUNCTION("""COMPUTED_VALUE"""),42751.474294079795)</f>
        <v>42751.47429</v>
      </c>
      <c r="C968" s="1" t="str">
        <f>IFERROR(__xludf.DUMMYFUNCTION("""COMPUTED_VALUE"""),"control")</f>
        <v>control</v>
      </c>
      <c r="D968" s="1" t="str">
        <f>IFERROR(__xludf.DUMMYFUNCTION("""COMPUTED_VALUE"""),"old_page")</f>
        <v>old_page</v>
      </c>
      <c r="E968" s="1">
        <f>IFERROR(__xludf.DUMMYFUNCTION("""COMPUTED_VALUE"""),0.0)</f>
        <v>0</v>
      </c>
    </row>
    <row r="969">
      <c r="A969" s="1">
        <f>IFERROR(__xludf.DUMMYFUNCTION("""COMPUTED_VALUE"""),814970.0)</f>
        <v>814970</v>
      </c>
      <c r="B969" s="2">
        <f>IFERROR(__xludf.DUMMYFUNCTION("""COMPUTED_VALUE"""),42756.249847285646)</f>
        <v>42756.24985</v>
      </c>
      <c r="C969" s="1" t="str">
        <f>IFERROR(__xludf.DUMMYFUNCTION("""COMPUTED_VALUE"""),"treatment")</f>
        <v>treatment</v>
      </c>
      <c r="D969" s="1" t="str">
        <f>IFERROR(__xludf.DUMMYFUNCTION("""COMPUTED_VALUE"""),"new_page")</f>
        <v>new_page</v>
      </c>
      <c r="E969" s="1">
        <f>IFERROR(__xludf.DUMMYFUNCTION("""COMPUTED_VALUE"""),0.0)</f>
        <v>0</v>
      </c>
    </row>
    <row r="970">
      <c r="A970" s="1">
        <f>IFERROR(__xludf.DUMMYFUNCTION("""COMPUTED_VALUE"""),827319.0)</f>
        <v>827319</v>
      </c>
      <c r="B970" s="2">
        <f>IFERROR(__xludf.DUMMYFUNCTION("""COMPUTED_VALUE"""),42751.6597343141)</f>
        <v>42751.65973</v>
      </c>
      <c r="C970" s="1" t="str">
        <f>IFERROR(__xludf.DUMMYFUNCTION("""COMPUTED_VALUE"""),"control")</f>
        <v>control</v>
      </c>
      <c r="D970" s="1" t="str">
        <f>IFERROR(__xludf.DUMMYFUNCTION("""COMPUTED_VALUE"""),"old_page")</f>
        <v>old_page</v>
      </c>
      <c r="E970" s="1">
        <f>IFERROR(__xludf.DUMMYFUNCTION("""COMPUTED_VALUE"""),0.0)</f>
        <v>0</v>
      </c>
    </row>
    <row r="971">
      <c r="A971" s="1">
        <f>IFERROR(__xludf.DUMMYFUNCTION("""COMPUTED_VALUE"""),779866.0)</f>
        <v>779866</v>
      </c>
      <c r="B971" s="2">
        <f>IFERROR(__xludf.DUMMYFUNCTION("""COMPUTED_VALUE"""),42752.15101258754)</f>
        <v>42752.15101</v>
      </c>
      <c r="C971" s="1" t="str">
        <f>IFERROR(__xludf.DUMMYFUNCTION("""COMPUTED_VALUE"""),"treatment")</f>
        <v>treatment</v>
      </c>
      <c r="D971" s="1" t="str">
        <f>IFERROR(__xludf.DUMMYFUNCTION("""COMPUTED_VALUE"""),"new_page")</f>
        <v>new_page</v>
      </c>
      <c r="E971" s="1">
        <f>IFERROR(__xludf.DUMMYFUNCTION("""COMPUTED_VALUE"""),0.0)</f>
        <v>0</v>
      </c>
    </row>
    <row r="972">
      <c r="A972" s="1">
        <f>IFERROR(__xludf.DUMMYFUNCTION("""COMPUTED_VALUE"""),805267.0)</f>
        <v>805267</v>
      </c>
      <c r="B972" s="2">
        <f>IFERROR(__xludf.DUMMYFUNCTION("""COMPUTED_VALUE"""),42743.543144045994)</f>
        <v>42743.54314</v>
      </c>
      <c r="C972" s="1" t="str">
        <f>IFERROR(__xludf.DUMMYFUNCTION("""COMPUTED_VALUE"""),"treatment")</f>
        <v>treatment</v>
      </c>
      <c r="D972" s="1" t="str">
        <f>IFERROR(__xludf.DUMMYFUNCTION("""COMPUTED_VALUE"""),"new_page")</f>
        <v>new_page</v>
      </c>
      <c r="E972" s="1">
        <f>IFERROR(__xludf.DUMMYFUNCTION("""COMPUTED_VALUE"""),0.0)</f>
        <v>0</v>
      </c>
    </row>
    <row r="973">
      <c r="A973" s="1">
        <f>IFERROR(__xludf.DUMMYFUNCTION("""COMPUTED_VALUE"""),744483.0)</f>
        <v>744483</v>
      </c>
      <c r="B973" s="2">
        <f>IFERROR(__xludf.DUMMYFUNCTION("""COMPUTED_VALUE"""),42751.04619647749)</f>
        <v>42751.0462</v>
      </c>
      <c r="C973" s="1" t="str">
        <f>IFERROR(__xludf.DUMMYFUNCTION("""COMPUTED_VALUE"""),"treatment")</f>
        <v>treatment</v>
      </c>
      <c r="D973" s="1" t="str">
        <f>IFERROR(__xludf.DUMMYFUNCTION("""COMPUTED_VALUE"""),"new_page")</f>
        <v>new_page</v>
      </c>
      <c r="E973" s="1">
        <f>IFERROR(__xludf.DUMMYFUNCTION("""COMPUTED_VALUE"""),0.0)</f>
        <v>0</v>
      </c>
    </row>
    <row r="974">
      <c r="A974" s="1">
        <f>IFERROR(__xludf.DUMMYFUNCTION("""COMPUTED_VALUE"""),840633.0)</f>
        <v>840633</v>
      </c>
      <c r="B974" s="2">
        <f>IFERROR(__xludf.DUMMYFUNCTION("""COMPUTED_VALUE"""),42757.7963052981)</f>
        <v>42757.79631</v>
      </c>
      <c r="C974" s="1" t="str">
        <f>IFERROR(__xludf.DUMMYFUNCTION("""COMPUTED_VALUE"""),"treatment")</f>
        <v>treatment</v>
      </c>
      <c r="D974" s="1" t="str">
        <f>IFERROR(__xludf.DUMMYFUNCTION("""COMPUTED_VALUE"""),"new_page")</f>
        <v>new_page</v>
      </c>
      <c r="E974" s="1">
        <f>IFERROR(__xludf.DUMMYFUNCTION("""COMPUTED_VALUE"""),0.0)</f>
        <v>0</v>
      </c>
    </row>
    <row r="975">
      <c r="A975" s="1">
        <f>IFERROR(__xludf.DUMMYFUNCTION("""COMPUTED_VALUE"""),666760.0)</f>
        <v>666760</v>
      </c>
      <c r="B975" s="2">
        <f>IFERROR(__xludf.DUMMYFUNCTION("""COMPUTED_VALUE"""),42744.779249259656)</f>
        <v>42744.77925</v>
      </c>
      <c r="C975" s="1" t="str">
        <f>IFERROR(__xludf.DUMMYFUNCTION("""COMPUTED_VALUE"""),"control")</f>
        <v>control</v>
      </c>
      <c r="D975" s="1" t="str">
        <f>IFERROR(__xludf.DUMMYFUNCTION("""COMPUTED_VALUE"""),"old_page")</f>
        <v>old_page</v>
      </c>
      <c r="E975" s="1">
        <f>IFERROR(__xludf.DUMMYFUNCTION("""COMPUTED_VALUE"""),0.0)</f>
        <v>0</v>
      </c>
    </row>
    <row r="976">
      <c r="A976" s="1">
        <f>IFERROR(__xludf.DUMMYFUNCTION("""COMPUTED_VALUE"""),872668.0)</f>
        <v>872668</v>
      </c>
      <c r="B976" s="2">
        <f>IFERROR(__xludf.DUMMYFUNCTION("""COMPUTED_VALUE"""),42748.0185498519)</f>
        <v>42748.01855</v>
      </c>
      <c r="C976" s="1" t="str">
        <f>IFERROR(__xludf.DUMMYFUNCTION("""COMPUTED_VALUE"""),"treatment")</f>
        <v>treatment</v>
      </c>
      <c r="D976" s="1" t="str">
        <f>IFERROR(__xludf.DUMMYFUNCTION("""COMPUTED_VALUE"""),"new_page")</f>
        <v>new_page</v>
      </c>
      <c r="E976" s="1">
        <f>IFERROR(__xludf.DUMMYFUNCTION("""COMPUTED_VALUE"""),0.0)</f>
        <v>0</v>
      </c>
    </row>
    <row r="977">
      <c r="A977" s="1">
        <f>IFERROR(__xludf.DUMMYFUNCTION("""COMPUTED_VALUE"""),861000.0)</f>
        <v>861000</v>
      </c>
      <c r="B977" s="2">
        <f>IFERROR(__xludf.DUMMYFUNCTION("""COMPUTED_VALUE"""),42747.60191081347)</f>
        <v>42747.60191</v>
      </c>
      <c r="C977" s="1" t="str">
        <f>IFERROR(__xludf.DUMMYFUNCTION("""COMPUTED_VALUE"""),"treatment")</f>
        <v>treatment</v>
      </c>
      <c r="D977" s="1" t="str">
        <f>IFERROR(__xludf.DUMMYFUNCTION("""COMPUTED_VALUE"""),"new_page")</f>
        <v>new_page</v>
      </c>
      <c r="E977" s="1">
        <f>IFERROR(__xludf.DUMMYFUNCTION("""COMPUTED_VALUE"""),0.0)</f>
        <v>0</v>
      </c>
    </row>
    <row r="978">
      <c r="A978" s="1">
        <f>IFERROR(__xludf.DUMMYFUNCTION("""COMPUTED_VALUE"""),691828.0)</f>
        <v>691828</v>
      </c>
      <c r="B978" s="2">
        <f>IFERROR(__xludf.DUMMYFUNCTION("""COMPUTED_VALUE"""),42759.43011523091)</f>
        <v>42759.43012</v>
      </c>
      <c r="C978" s="1" t="str">
        <f>IFERROR(__xludf.DUMMYFUNCTION("""COMPUTED_VALUE"""),"control")</f>
        <v>control</v>
      </c>
      <c r="D978" s="1" t="str">
        <f>IFERROR(__xludf.DUMMYFUNCTION("""COMPUTED_VALUE"""),"old_page")</f>
        <v>old_page</v>
      </c>
      <c r="E978" s="1">
        <f>IFERROR(__xludf.DUMMYFUNCTION("""COMPUTED_VALUE"""),0.0)</f>
        <v>0</v>
      </c>
    </row>
    <row r="979">
      <c r="A979" s="1">
        <f>IFERROR(__xludf.DUMMYFUNCTION("""COMPUTED_VALUE"""),736042.0)</f>
        <v>736042</v>
      </c>
      <c r="B979" s="2">
        <f>IFERROR(__xludf.DUMMYFUNCTION("""COMPUTED_VALUE"""),42753.81605339089)</f>
        <v>42753.81605</v>
      </c>
      <c r="C979" s="1" t="str">
        <f>IFERROR(__xludf.DUMMYFUNCTION("""COMPUTED_VALUE"""),"control")</f>
        <v>control</v>
      </c>
      <c r="D979" s="1" t="str">
        <f>IFERROR(__xludf.DUMMYFUNCTION("""COMPUTED_VALUE"""),"old_page")</f>
        <v>old_page</v>
      </c>
      <c r="E979" s="1">
        <f>IFERROR(__xludf.DUMMYFUNCTION("""COMPUTED_VALUE"""),0.0)</f>
        <v>0</v>
      </c>
    </row>
    <row r="980">
      <c r="A980" s="1">
        <f>IFERROR(__xludf.DUMMYFUNCTION("""COMPUTED_VALUE"""),910027.0)</f>
        <v>910027</v>
      </c>
      <c r="B980" s="2">
        <f>IFERROR(__xludf.DUMMYFUNCTION("""COMPUTED_VALUE"""),42748.130513037766)</f>
        <v>42748.13051</v>
      </c>
      <c r="C980" s="1" t="str">
        <f>IFERROR(__xludf.DUMMYFUNCTION("""COMPUTED_VALUE"""),"control")</f>
        <v>control</v>
      </c>
      <c r="D980" s="1" t="str">
        <f>IFERROR(__xludf.DUMMYFUNCTION("""COMPUTED_VALUE"""),"old_page")</f>
        <v>old_page</v>
      </c>
      <c r="E980" s="1">
        <f>IFERROR(__xludf.DUMMYFUNCTION("""COMPUTED_VALUE"""),0.0)</f>
        <v>0</v>
      </c>
    </row>
    <row r="981">
      <c r="A981" s="1">
        <f>IFERROR(__xludf.DUMMYFUNCTION("""COMPUTED_VALUE"""),770137.0)</f>
        <v>770137</v>
      </c>
      <c r="B981" s="2">
        <f>IFERROR(__xludf.DUMMYFUNCTION("""COMPUTED_VALUE"""),42739.932148054155)</f>
        <v>42739.93215</v>
      </c>
      <c r="C981" s="1" t="str">
        <f>IFERROR(__xludf.DUMMYFUNCTION("""COMPUTED_VALUE"""),"treatment")</f>
        <v>treatment</v>
      </c>
      <c r="D981" s="1" t="str">
        <f>IFERROR(__xludf.DUMMYFUNCTION("""COMPUTED_VALUE"""),"new_page")</f>
        <v>new_page</v>
      </c>
      <c r="E981" s="1">
        <f>IFERROR(__xludf.DUMMYFUNCTION("""COMPUTED_VALUE"""),0.0)</f>
        <v>0</v>
      </c>
    </row>
    <row r="982">
      <c r="A982" s="1">
        <f>IFERROR(__xludf.DUMMYFUNCTION("""COMPUTED_VALUE"""),880688.0)</f>
        <v>880688</v>
      </c>
      <c r="B982" s="2">
        <f>IFERROR(__xludf.DUMMYFUNCTION("""COMPUTED_VALUE"""),42758.144880853244)</f>
        <v>42758.14488</v>
      </c>
      <c r="C982" s="1" t="str">
        <f>IFERROR(__xludf.DUMMYFUNCTION("""COMPUTED_VALUE"""),"treatment")</f>
        <v>treatment</v>
      </c>
      <c r="D982" s="1" t="str">
        <f>IFERROR(__xludf.DUMMYFUNCTION("""COMPUTED_VALUE"""),"new_page")</f>
        <v>new_page</v>
      </c>
      <c r="E982" s="1">
        <f>IFERROR(__xludf.DUMMYFUNCTION("""COMPUTED_VALUE"""),1.0)</f>
        <v>1</v>
      </c>
    </row>
    <row r="983">
      <c r="A983" s="1">
        <f>IFERROR(__xludf.DUMMYFUNCTION("""COMPUTED_VALUE"""),727266.0)</f>
        <v>727266</v>
      </c>
      <c r="B983" s="2">
        <f>IFERROR(__xludf.DUMMYFUNCTION("""COMPUTED_VALUE"""),42743.14155657251)</f>
        <v>42743.14156</v>
      </c>
      <c r="C983" s="1" t="str">
        <f>IFERROR(__xludf.DUMMYFUNCTION("""COMPUTED_VALUE"""),"treatment")</f>
        <v>treatment</v>
      </c>
      <c r="D983" s="1" t="str">
        <f>IFERROR(__xludf.DUMMYFUNCTION("""COMPUTED_VALUE"""),"new_page")</f>
        <v>new_page</v>
      </c>
      <c r="E983" s="1">
        <f>IFERROR(__xludf.DUMMYFUNCTION("""COMPUTED_VALUE"""),0.0)</f>
        <v>0</v>
      </c>
    </row>
    <row r="984">
      <c r="A984" s="1">
        <f>IFERROR(__xludf.DUMMYFUNCTION("""COMPUTED_VALUE"""),638037.0)</f>
        <v>638037</v>
      </c>
      <c r="B984" s="2">
        <f>IFERROR(__xludf.DUMMYFUNCTION("""COMPUTED_VALUE"""),42752.47370564573)</f>
        <v>42752.47371</v>
      </c>
      <c r="C984" s="1" t="str">
        <f>IFERROR(__xludf.DUMMYFUNCTION("""COMPUTED_VALUE"""),"control")</f>
        <v>control</v>
      </c>
      <c r="D984" s="1" t="str">
        <f>IFERROR(__xludf.DUMMYFUNCTION("""COMPUTED_VALUE"""),"old_page")</f>
        <v>old_page</v>
      </c>
      <c r="E984" s="1">
        <f>IFERROR(__xludf.DUMMYFUNCTION("""COMPUTED_VALUE"""),0.0)</f>
        <v>0</v>
      </c>
    </row>
    <row r="985">
      <c r="A985" s="1">
        <f>IFERROR(__xludf.DUMMYFUNCTION("""COMPUTED_VALUE"""),828474.0)</f>
        <v>828474</v>
      </c>
      <c r="B985" s="2">
        <f>IFERROR(__xludf.DUMMYFUNCTION("""COMPUTED_VALUE"""),42755.76015008279)</f>
        <v>42755.76015</v>
      </c>
      <c r="C985" s="1" t="str">
        <f>IFERROR(__xludf.DUMMYFUNCTION("""COMPUTED_VALUE"""),"treatment")</f>
        <v>treatment</v>
      </c>
      <c r="D985" s="1" t="str">
        <f>IFERROR(__xludf.DUMMYFUNCTION("""COMPUTED_VALUE"""),"new_page")</f>
        <v>new_page</v>
      </c>
      <c r="E985" s="1">
        <f>IFERROR(__xludf.DUMMYFUNCTION("""COMPUTED_VALUE"""),1.0)</f>
        <v>1</v>
      </c>
    </row>
    <row r="986">
      <c r="A986" s="1">
        <f>IFERROR(__xludf.DUMMYFUNCTION("""COMPUTED_VALUE"""),812318.0)</f>
        <v>812318</v>
      </c>
      <c r="B986" s="2">
        <f>IFERROR(__xludf.DUMMYFUNCTION("""COMPUTED_VALUE"""),42750.458461576876)</f>
        <v>42750.45846</v>
      </c>
      <c r="C986" s="1" t="str">
        <f>IFERROR(__xludf.DUMMYFUNCTION("""COMPUTED_VALUE"""),"control")</f>
        <v>control</v>
      </c>
      <c r="D986" s="1" t="str">
        <f>IFERROR(__xludf.DUMMYFUNCTION("""COMPUTED_VALUE"""),"old_page")</f>
        <v>old_page</v>
      </c>
      <c r="E986" s="1">
        <f>IFERROR(__xludf.DUMMYFUNCTION("""COMPUTED_VALUE"""),1.0)</f>
        <v>1</v>
      </c>
    </row>
    <row r="987">
      <c r="A987" s="1">
        <f>IFERROR(__xludf.DUMMYFUNCTION("""COMPUTED_VALUE"""),693179.0)</f>
        <v>693179</v>
      </c>
      <c r="B987" s="2">
        <f>IFERROR(__xludf.DUMMYFUNCTION("""COMPUTED_VALUE"""),42740.28052323643)</f>
        <v>42740.28052</v>
      </c>
      <c r="C987" s="1" t="str">
        <f>IFERROR(__xludf.DUMMYFUNCTION("""COMPUTED_VALUE"""),"control")</f>
        <v>control</v>
      </c>
      <c r="D987" s="1" t="str">
        <f>IFERROR(__xludf.DUMMYFUNCTION("""COMPUTED_VALUE"""),"old_page")</f>
        <v>old_page</v>
      </c>
      <c r="E987" s="1">
        <f>IFERROR(__xludf.DUMMYFUNCTION("""COMPUTED_VALUE"""),0.0)</f>
        <v>0</v>
      </c>
    </row>
    <row r="988">
      <c r="A988" s="1">
        <f>IFERROR(__xludf.DUMMYFUNCTION("""COMPUTED_VALUE"""),926720.0)</f>
        <v>926720</v>
      </c>
      <c r="B988" s="2">
        <f>IFERROR(__xludf.DUMMYFUNCTION("""COMPUTED_VALUE"""),42753.11639896904)</f>
        <v>42753.1164</v>
      </c>
      <c r="C988" s="1" t="str">
        <f>IFERROR(__xludf.DUMMYFUNCTION("""COMPUTED_VALUE"""),"control")</f>
        <v>control</v>
      </c>
      <c r="D988" s="1" t="str">
        <f>IFERROR(__xludf.DUMMYFUNCTION("""COMPUTED_VALUE"""),"old_page")</f>
        <v>old_page</v>
      </c>
      <c r="E988" s="1">
        <f>IFERROR(__xludf.DUMMYFUNCTION("""COMPUTED_VALUE"""),0.0)</f>
        <v>0</v>
      </c>
    </row>
    <row r="989">
      <c r="A989" s="1">
        <f>IFERROR(__xludf.DUMMYFUNCTION("""COMPUTED_VALUE"""),810432.0)</f>
        <v>810432</v>
      </c>
      <c r="B989" s="2">
        <f>IFERROR(__xludf.DUMMYFUNCTION("""COMPUTED_VALUE"""),42751.28015587329)</f>
        <v>42751.28016</v>
      </c>
      <c r="C989" s="1" t="str">
        <f>IFERROR(__xludf.DUMMYFUNCTION("""COMPUTED_VALUE"""),"treatment")</f>
        <v>treatment</v>
      </c>
      <c r="D989" s="1" t="str">
        <f>IFERROR(__xludf.DUMMYFUNCTION("""COMPUTED_VALUE"""),"new_page")</f>
        <v>new_page</v>
      </c>
      <c r="E989" s="1">
        <f>IFERROR(__xludf.DUMMYFUNCTION("""COMPUTED_VALUE"""),0.0)</f>
        <v>0</v>
      </c>
    </row>
    <row r="990">
      <c r="A990" s="1">
        <f>IFERROR(__xludf.DUMMYFUNCTION("""COMPUTED_VALUE"""),698120.0)</f>
        <v>698120</v>
      </c>
      <c r="B990" s="2">
        <f>IFERROR(__xludf.DUMMYFUNCTION("""COMPUTED_VALUE"""),42757.29835116863)</f>
        <v>42757.29835</v>
      </c>
      <c r="C990" s="1" t="str">
        <f>IFERROR(__xludf.DUMMYFUNCTION("""COMPUTED_VALUE"""),"control")</f>
        <v>control</v>
      </c>
      <c r="D990" s="1" t="str">
        <f>IFERROR(__xludf.DUMMYFUNCTION("""COMPUTED_VALUE"""),"new_page")</f>
        <v>new_page</v>
      </c>
      <c r="E990" s="1">
        <f>IFERROR(__xludf.DUMMYFUNCTION("""COMPUTED_VALUE"""),0.0)</f>
        <v>0</v>
      </c>
    </row>
    <row r="991">
      <c r="A991" s="1">
        <f>IFERROR(__xludf.DUMMYFUNCTION("""COMPUTED_VALUE"""),861437.0)</f>
        <v>861437</v>
      </c>
      <c r="B991" s="2">
        <f>IFERROR(__xludf.DUMMYFUNCTION("""COMPUTED_VALUE"""),42756.93815692781)</f>
        <v>42756.93816</v>
      </c>
      <c r="C991" s="1" t="str">
        <f>IFERROR(__xludf.DUMMYFUNCTION("""COMPUTED_VALUE"""),"control")</f>
        <v>control</v>
      </c>
      <c r="D991" s="1" t="str">
        <f>IFERROR(__xludf.DUMMYFUNCTION("""COMPUTED_VALUE"""),"old_page")</f>
        <v>old_page</v>
      </c>
      <c r="E991" s="1">
        <f>IFERROR(__xludf.DUMMYFUNCTION("""COMPUTED_VALUE"""),0.0)</f>
        <v>0</v>
      </c>
    </row>
    <row r="992">
      <c r="A992" s="1">
        <f>IFERROR(__xludf.DUMMYFUNCTION("""COMPUTED_VALUE"""),841497.0)</f>
        <v>841497</v>
      </c>
      <c r="B992" s="2">
        <f>IFERROR(__xludf.DUMMYFUNCTION("""COMPUTED_VALUE"""),42748.2450635087)</f>
        <v>42748.24506</v>
      </c>
      <c r="C992" s="1" t="str">
        <f>IFERROR(__xludf.DUMMYFUNCTION("""COMPUTED_VALUE"""),"control")</f>
        <v>control</v>
      </c>
      <c r="D992" s="1" t="str">
        <f>IFERROR(__xludf.DUMMYFUNCTION("""COMPUTED_VALUE"""),"old_page")</f>
        <v>old_page</v>
      </c>
      <c r="E992" s="1">
        <f>IFERROR(__xludf.DUMMYFUNCTION("""COMPUTED_VALUE"""),0.0)</f>
        <v>0</v>
      </c>
    </row>
    <row r="993">
      <c r="A993" s="1">
        <f>IFERROR(__xludf.DUMMYFUNCTION("""COMPUTED_VALUE"""),647747.0)</f>
        <v>647747</v>
      </c>
      <c r="B993" s="2">
        <f>IFERROR(__xludf.DUMMYFUNCTION("""COMPUTED_VALUE"""),42759.24854186515)</f>
        <v>42759.24854</v>
      </c>
      <c r="C993" s="1" t="str">
        <f>IFERROR(__xludf.DUMMYFUNCTION("""COMPUTED_VALUE"""),"treatment")</f>
        <v>treatment</v>
      </c>
      <c r="D993" s="1" t="str">
        <f>IFERROR(__xludf.DUMMYFUNCTION("""COMPUTED_VALUE"""),"new_page")</f>
        <v>new_page</v>
      </c>
      <c r="E993" s="1">
        <f>IFERROR(__xludf.DUMMYFUNCTION("""COMPUTED_VALUE"""),0.0)</f>
        <v>0</v>
      </c>
    </row>
    <row r="994">
      <c r="A994" s="1">
        <f>IFERROR(__xludf.DUMMYFUNCTION("""COMPUTED_VALUE"""),708035.0)</f>
        <v>708035</v>
      </c>
      <c r="B994" s="2">
        <f>IFERROR(__xludf.DUMMYFUNCTION("""COMPUTED_VALUE"""),42744.756790294596)</f>
        <v>42744.75679</v>
      </c>
      <c r="C994" s="1" t="str">
        <f>IFERROR(__xludf.DUMMYFUNCTION("""COMPUTED_VALUE"""),"treatment")</f>
        <v>treatment</v>
      </c>
      <c r="D994" s="1" t="str">
        <f>IFERROR(__xludf.DUMMYFUNCTION("""COMPUTED_VALUE"""),"new_page")</f>
        <v>new_page</v>
      </c>
      <c r="E994" s="1">
        <f>IFERROR(__xludf.DUMMYFUNCTION("""COMPUTED_VALUE"""),0.0)</f>
        <v>0</v>
      </c>
    </row>
    <row r="995">
      <c r="A995" s="1">
        <f>IFERROR(__xludf.DUMMYFUNCTION("""COMPUTED_VALUE"""),644014.0)</f>
        <v>644014</v>
      </c>
      <c r="B995" s="2">
        <f>IFERROR(__xludf.DUMMYFUNCTION("""COMPUTED_VALUE"""),42752.35892907068)</f>
        <v>42752.35893</v>
      </c>
      <c r="C995" s="1" t="str">
        <f>IFERROR(__xludf.DUMMYFUNCTION("""COMPUTED_VALUE"""),"control")</f>
        <v>control</v>
      </c>
      <c r="D995" s="1" t="str">
        <f>IFERROR(__xludf.DUMMYFUNCTION("""COMPUTED_VALUE"""),"old_page")</f>
        <v>old_page</v>
      </c>
      <c r="E995" s="1">
        <f>IFERROR(__xludf.DUMMYFUNCTION("""COMPUTED_VALUE"""),1.0)</f>
        <v>1</v>
      </c>
    </row>
    <row r="996">
      <c r="A996" s="1">
        <f>IFERROR(__xludf.DUMMYFUNCTION("""COMPUTED_VALUE"""),796557.0)</f>
        <v>796557</v>
      </c>
      <c r="B996" s="2">
        <f>IFERROR(__xludf.DUMMYFUNCTION("""COMPUTED_VALUE"""),42749.72555302834)</f>
        <v>42749.72555</v>
      </c>
      <c r="C996" s="1" t="str">
        <f>IFERROR(__xludf.DUMMYFUNCTION("""COMPUTED_VALUE"""),"treatment")</f>
        <v>treatment</v>
      </c>
      <c r="D996" s="1" t="str">
        <f>IFERROR(__xludf.DUMMYFUNCTION("""COMPUTED_VALUE"""),"new_page")</f>
        <v>new_page</v>
      </c>
      <c r="E996" s="1">
        <f>IFERROR(__xludf.DUMMYFUNCTION("""COMPUTED_VALUE"""),0.0)</f>
        <v>0</v>
      </c>
    </row>
    <row r="997">
      <c r="A997" s="1">
        <f>IFERROR(__xludf.DUMMYFUNCTION("""COMPUTED_VALUE"""),703387.0)</f>
        <v>703387</v>
      </c>
      <c r="B997" s="2">
        <f>IFERROR(__xludf.DUMMYFUNCTION("""COMPUTED_VALUE"""),42751.82834118397)</f>
        <v>42751.82834</v>
      </c>
      <c r="C997" s="1" t="str">
        <f>IFERROR(__xludf.DUMMYFUNCTION("""COMPUTED_VALUE"""),"control")</f>
        <v>control</v>
      </c>
      <c r="D997" s="1" t="str">
        <f>IFERROR(__xludf.DUMMYFUNCTION("""COMPUTED_VALUE"""),"old_page")</f>
        <v>old_page</v>
      </c>
      <c r="E997" s="1">
        <f>IFERROR(__xludf.DUMMYFUNCTION("""COMPUTED_VALUE"""),0.0)</f>
        <v>0</v>
      </c>
    </row>
    <row r="998">
      <c r="A998" s="1">
        <f>IFERROR(__xludf.DUMMYFUNCTION("""COMPUTED_VALUE"""),642670.0)</f>
        <v>642670</v>
      </c>
      <c r="B998" s="2">
        <f>IFERROR(__xludf.DUMMYFUNCTION("""COMPUTED_VALUE"""),42758.84422020954)</f>
        <v>42758.84422</v>
      </c>
      <c r="C998" s="1" t="str">
        <f>IFERROR(__xludf.DUMMYFUNCTION("""COMPUTED_VALUE"""),"treatment")</f>
        <v>treatment</v>
      </c>
      <c r="D998" s="1" t="str">
        <f>IFERROR(__xludf.DUMMYFUNCTION("""COMPUTED_VALUE"""),"new_page")</f>
        <v>new_page</v>
      </c>
      <c r="E998" s="1">
        <f>IFERROR(__xludf.DUMMYFUNCTION("""COMPUTED_VALUE"""),0.0)</f>
        <v>0</v>
      </c>
    </row>
    <row r="999">
      <c r="A999" s="1">
        <f>IFERROR(__xludf.DUMMYFUNCTION("""COMPUTED_VALUE"""),919008.0)</f>
        <v>919008</v>
      </c>
      <c r="B999" s="2">
        <f>IFERROR(__xludf.DUMMYFUNCTION("""COMPUTED_VALUE"""),42737.696468920534)</f>
        <v>42737.69647</v>
      </c>
      <c r="C999" s="1" t="str">
        <f>IFERROR(__xludf.DUMMYFUNCTION("""COMPUTED_VALUE"""),"treatment")</f>
        <v>treatment</v>
      </c>
      <c r="D999" s="1" t="str">
        <f>IFERROR(__xludf.DUMMYFUNCTION("""COMPUTED_VALUE"""),"new_page")</f>
        <v>new_page</v>
      </c>
      <c r="E999" s="1">
        <f>IFERROR(__xludf.DUMMYFUNCTION("""COMPUTED_VALUE"""),0.0)</f>
        <v>0</v>
      </c>
    </row>
    <row r="1000">
      <c r="A1000" s="1">
        <f>IFERROR(__xludf.DUMMYFUNCTION("""COMPUTED_VALUE"""),796478.0)</f>
        <v>796478</v>
      </c>
      <c r="B1000" s="2">
        <f>IFERROR(__xludf.DUMMYFUNCTION("""COMPUTED_VALUE"""),42753.431802283354)</f>
        <v>42753.4318</v>
      </c>
      <c r="C1000" s="1" t="str">
        <f>IFERROR(__xludf.DUMMYFUNCTION("""COMPUTED_VALUE"""),"control")</f>
        <v>control</v>
      </c>
      <c r="D1000" s="1" t="str">
        <f>IFERROR(__xludf.DUMMYFUNCTION("""COMPUTED_VALUE"""),"old_page")</f>
        <v>old_page</v>
      </c>
      <c r="E1000" s="1">
        <f>IFERROR(__xludf.DUMMYFUNCTION("""COMPUTED_VALUE"""),0.0)</f>
        <v>0</v>
      </c>
    </row>
    <row r="1001">
      <c r="A1001" s="1">
        <f>IFERROR(__xludf.DUMMYFUNCTION("""COMPUTED_VALUE"""),799187.0)</f>
        <v>799187</v>
      </c>
      <c r="B1001" s="2">
        <f>IFERROR(__xludf.DUMMYFUNCTION("""COMPUTED_VALUE"""),42755.06492160156)</f>
        <v>42755.06492</v>
      </c>
      <c r="C1001" s="1" t="str">
        <f>IFERROR(__xludf.DUMMYFUNCTION("""COMPUTED_VALUE"""),"treatment")</f>
        <v>treatment</v>
      </c>
      <c r="D1001" s="1" t="str">
        <f>IFERROR(__xludf.DUMMYFUNCTION("""COMPUTED_VALUE"""),"new_page")</f>
        <v>new_page</v>
      </c>
      <c r="E1001" s="1">
        <f>IFERROR(__xludf.DUMMYFUNCTION("""COMPUTED_VALUE"""),0.0)</f>
        <v>0</v>
      </c>
    </row>
    <row r="1002">
      <c r="A1002" s="1">
        <f>IFERROR(__xludf.DUMMYFUNCTION("""COMPUTED_VALUE"""),918106.0)</f>
        <v>918106</v>
      </c>
      <c r="B1002" s="2">
        <f>IFERROR(__xludf.DUMMYFUNCTION("""COMPUTED_VALUE"""),42744.59451481066)</f>
        <v>42744.59451</v>
      </c>
      <c r="C1002" s="1" t="str">
        <f>IFERROR(__xludf.DUMMYFUNCTION("""COMPUTED_VALUE"""),"treatment")</f>
        <v>treatment</v>
      </c>
      <c r="D1002" s="1" t="str">
        <f>IFERROR(__xludf.DUMMYFUNCTION("""COMPUTED_VALUE"""),"new_page")</f>
        <v>new_page</v>
      </c>
      <c r="E1002" s="1">
        <f>IFERROR(__xludf.DUMMYFUNCTION("""COMPUTED_VALUE"""),0.0)</f>
        <v>0</v>
      </c>
    </row>
    <row r="1003">
      <c r="A1003" s="1">
        <f>IFERROR(__xludf.DUMMYFUNCTION("""COMPUTED_VALUE"""),709667.0)</f>
        <v>709667</v>
      </c>
      <c r="B1003" s="2">
        <f>IFERROR(__xludf.DUMMYFUNCTION("""COMPUTED_VALUE"""),42759.12065740592)</f>
        <v>42759.12066</v>
      </c>
      <c r="C1003" s="1" t="str">
        <f>IFERROR(__xludf.DUMMYFUNCTION("""COMPUTED_VALUE"""),"treatment")</f>
        <v>treatment</v>
      </c>
      <c r="D1003" s="1" t="str">
        <f>IFERROR(__xludf.DUMMYFUNCTION("""COMPUTED_VALUE"""),"new_page")</f>
        <v>new_page</v>
      </c>
      <c r="E1003" s="1">
        <f>IFERROR(__xludf.DUMMYFUNCTION("""COMPUTED_VALUE"""),1.0)</f>
        <v>1</v>
      </c>
    </row>
    <row r="1004">
      <c r="A1004" s="1">
        <f>IFERROR(__xludf.DUMMYFUNCTION("""COMPUTED_VALUE"""),808801.0)</f>
        <v>808801</v>
      </c>
      <c r="B1004" s="2">
        <f>IFERROR(__xludf.DUMMYFUNCTION("""COMPUTED_VALUE"""),42740.16179485893)</f>
        <v>42740.16179</v>
      </c>
      <c r="C1004" s="1" t="str">
        <f>IFERROR(__xludf.DUMMYFUNCTION("""COMPUTED_VALUE"""),"treatment")</f>
        <v>treatment</v>
      </c>
      <c r="D1004" s="1" t="str">
        <f>IFERROR(__xludf.DUMMYFUNCTION("""COMPUTED_VALUE"""),"new_page")</f>
        <v>new_page</v>
      </c>
      <c r="E1004" s="1">
        <f>IFERROR(__xludf.DUMMYFUNCTION("""COMPUTED_VALUE"""),0.0)</f>
        <v>0</v>
      </c>
    </row>
    <row r="1005">
      <c r="A1005" s="1">
        <f>IFERROR(__xludf.DUMMYFUNCTION("""COMPUTED_VALUE"""),889750.0)</f>
        <v>889750</v>
      </c>
      <c r="B1005" s="2">
        <f>IFERROR(__xludf.DUMMYFUNCTION("""COMPUTED_VALUE"""),42748.8695321328)</f>
        <v>42748.86953</v>
      </c>
      <c r="C1005" s="1" t="str">
        <f>IFERROR(__xludf.DUMMYFUNCTION("""COMPUTED_VALUE"""),"treatment")</f>
        <v>treatment</v>
      </c>
      <c r="D1005" s="1" t="str">
        <f>IFERROR(__xludf.DUMMYFUNCTION("""COMPUTED_VALUE"""),"new_page")</f>
        <v>new_page</v>
      </c>
      <c r="E1005" s="1">
        <f>IFERROR(__xludf.DUMMYFUNCTION("""COMPUTED_VALUE"""),0.0)</f>
        <v>0</v>
      </c>
    </row>
    <row r="1006">
      <c r="A1006" s="1">
        <f>IFERROR(__xludf.DUMMYFUNCTION("""COMPUTED_VALUE"""),833306.0)</f>
        <v>833306</v>
      </c>
      <c r="B1006" s="2">
        <f>IFERROR(__xludf.DUMMYFUNCTION("""COMPUTED_VALUE"""),42750.62419984347)</f>
        <v>42750.6242</v>
      </c>
      <c r="C1006" s="1" t="str">
        <f>IFERROR(__xludf.DUMMYFUNCTION("""COMPUTED_VALUE"""),"control")</f>
        <v>control</v>
      </c>
      <c r="D1006" s="1" t="str">
        <f>IFERROR(__xludf.DUMMYFUNCTION("""COMPUTED_VALUE"""),"old_page")</f>
        <v>old_page</v>
      </c>
      <c r="E1006" s="1">
        <f>IFERROR(__xludf.DUMMYFUNCTION("""COMPUTED_VALUE"""),0.0)</f>
        <v>0</v>
      </c>
    </row>
    <row r="1007">
      <c r="A1007" s="1">
        <f>IFERROR(__xludf.DUMMYFUNCTION("""COMPUTED_VALUE"""),921628.0)</f>
        <v>921628</v>
      </c>
      <c r="B1007" s="2">
        <f>IFERROR(__xludf.DUMMYFUNCTION("""COMPUTED_VALUE"""),42743.165446189836)</f>
        <v>42743.16545</v>
      </c>
      <c r="C1007" s="1" t="str">
        <f>IFERROR(__xludf.DUMMYFUNCTION("""COMPUTED_VALUE"""),"treatment")</f>
        <v>treatment</v>
      </c>
      <c r="D1007" s="1" t="str">
        <f>IFERROR(__xludf.DUMMYFUNCTION("""COMPUTED_VALUE"""),"new_page")</f>
        <v>new_page</v>
      </c>
      <c r="E1007" s="1">
        <f>IFERROR(__xludf.DUMMYFUNCTION("""COMPUTED_VALUE"""),0.0)</f>
        <v>0</v>
      </c>
    </row>
    <row r="1008">
      <c r="A1008" s="1">
        <f>IFERROR(__xludf.DUMMYFUNCTION("""COMPUTED_VALUE"""),636291.0)</f>
        <v>636291</v>
      </c>
      <c r="B1008" s="2">
        <f>IFERROR(__xludf.DUMMYFUNCTION("""COMPUTED_VALUE"""),42754.57441764926)</f>
        <v>42754.57442</v>
      </c>
      <c r="C1008" s="1" t="str">
        <f>IFERROR(__xludf.DUMMYFUNCTION("""COMPUTED_VALUE"""),"treatment")</f>
        <v>treatment</v>
      </c>
      <c r="D1008" s="1" t="str">
        <f>IFERROR(__xludf.DUMMYFUNCTION("""COMPUTED_VALUE"""),"new_page")</f>
        <v>new_page</v>
      </c>
      <c r="E1008" s="1">
        <f>IFERROR(__xludf.DUMMYFUNCTION("""COMPUTED_VALUE"""),0.0)</f>
        <v>0</v>
      </c>
    </row>
    <row r="1009">
      <c r="A1009" s="1">
        <f>IFERROR(__xludf.DUMMYFUNCTION("""COMPUTED_VALUE"""),660382.0)</f>
        <v>660382</v>
      </c>
      <c r="B1009" s="2">
        <f>IFERROR(__xludf.DUMMYFUNCTION("""COMPUTED_VALUE"""),42751.9228314886)</f>
        <v>42751.92283</v>
      </c>
      <c r="C1009" s="1" t="str">
        <f>IFERROR(__xludf.DUMMYFUNCTION("""COMPUTED_VALUE"""),"treatment")</f>
        <v>treatment</v>
      </c>
      <c r="D1009" s="1" t="str">
        <f>IFERROR(__xludf.DUMMYFUNCTION("""COMPUTED_VALUE"""),"new_page")</f>
        <v>new_page</v>
      </c>
      <c r="E1009" s="1">
        <f>IFERROR(__xludf.DUMMYFUNCTION("""COMPUTED_VALUE"""),0.0)</f>
        <v>0</v>
      </c>
    </row>
    <row r="1010">
      <c r="A1010" s="1">
        <f>IFERROR(__xludf.DUMMYFUNCTION("""COMPUTED_VALUE"""),807093.0)</f>
        <v>807093</v>
      </c>
      <c r="B1010" s="2">
        <f>IFERROR(__xludf.DUMMYFUNCTION("""COMPUTED_VALUE"""),42750.19423153685)</f>
        <v>42750.19423</v>
      </c>
      <c r="C1010" s="1" t="str">
        <f>IFERROR(__xludf.DUMMYFUNCTION("""COMPUTED_VALUE"""),"control")</f>
        <v>control</v>
      </c>
      <c r="D1010" s="1" t="str">
        <f>IFERROR(__xludf.DUMMYFUNCTION("""COMPUTED_VALUE"""),"old_page")</f>
        <v>old_page</v>
      </c>
      <c r="E1010" s="1">
        <f>IFERROR(__xludf.DUMMYFUNCTION("""COMPUTED_VALUE"""),1.0)</f>
        <v>1</v>
      </c>
    </row>
    <row r="1011">
      <c r="A1011" s="1">
        <f>IFERROR(__xludf.DUMMYFUNCTION("""COMPUTED_VALUE"""),930709.0)</f>
        <v>930709</v>
      </c>
      <c r="B1011" s="2">
        <f>IFERROR(__xludf.DUMMYFUNCTION("""COMPUTED_VALUE"""),42739.73263857298)</f>
        <v>42739.73264</v>
      </c>
      <c r="C1011" s="1" t="str">
        <f>IFERROR(__xludf.DUMMYFUNCTION("""COMPUTED_VALUE"""),"treatment")</f>
        <v>treatment</v>
      </c>
      <c r="D1011" s="1" t="str">
        <f>IFERROR(__xludf.DUMMYFUNCTION("""COMPUTED_VALUE"""),"new_page")</f>
        <v>new_page</v>
      </c>
      <c r="E1011" s="1">
        <f>IFERROR(__xludf.DUMMYFUNCTION("""COMPUTED_VALUE"""),0.0)</f>
        <v>0</v>
      </c>
    </row>
    <row r="1012">
      <c r="A1012" s="1">
        <f>IFERROR(__xludf.DUMMYFUNCTION("""COMPUTED_VALUE"""),737590.0)</f>
        <v>737590</v>
      </c>
      <c r="B1012" s="2">
        <f>IFERROR(__xludf.DUMMYFUNCTION("""COMPUTED_VALUE"""),42737.76543754843)</f>
        <v>42737.76544</v>
      </c>
      <c r="C1012" s="1" t="str">
        <f>IFERROR(__xludf.DUMMYFUNCTION("""COMPUTED_VALUE"""),"treatment")</f>
        <v>treatment</v>
      </c>
      <c r="D1012" s="1" t="str">
        <f>IFERROR(__xludf.DUMMYFUNCTION("""COMPUTED_VALUE"""),"new_page")</f>
        <v>new_page</v>
      </c>
      <c r="E1012" s="1">
        <f>IFERROR(__xludf.DUMMYFUNCTION("""COMPUTED_VALUE"""),1.0)</f>
        <v>1</v>
      </c>
    </row>
    <row r="1013">
      <c r="A1013" s="1">
        <f>IFERROR(__xludf.DUMMYFUNCTION("""COMPUTED_VALUE"""),887934.0)</f>
        <v>887934</v>
      </c>
      <c r="B1013" s="2">
        <f>IFERROR(__xludf.DUMMYFUNCTION("""COMPUTED_VALUE"""),42739.97978673282)</f>
        <v>42739.97979</v>
      </c>
      <c r="C1013" s="1" t="str">
        <f>IFERROR(__xludf.DUMMYFUNCTION("""COMPUTED_VALUE"""),"control")</f>
        <v>control</v>
      </c>
      <c r="D1013" s="1" t="str">
        <f>IFERROR(__xludf.DUMMYFUNCTION("""COMPUTED_VALUE"""),"old_page")</f>
        <v>old_page</v>
      </c>
      <c r="E1013" s="1">
        <f>IFERROR(__xludf.DUMMYFUNCTION("""COMPUTED_VALUE"""),1.0)</f>
        <v>1</v>
      </c>
    </row>
    <row r="1014">
      <c r="A1014" s="1">
        <f>IFERROR(__xludf.DUMMYFUNCTION("""COMPUTED_VALUE"""),790862.0)</f>
        <v>790862</v>
      </c>
      <c r="B1014" s="2">
        <f>IFERROR(__xludf.DUMMYFUNCTION("""COMPUTED_VALUE"""),42754.2223349342)</f>
        <v>42754.22233</v>
      </c>
      <c r="C1014" s="1" t="str">
        <f>IFERROR(__xludf.DUMMYFUNCTION("""COMPUTED_VALUE"""),"treatment")</f>
        <v>treatment</v>
      </c>
      <c r="D1014" s="1" t="str">
        <f>IFERROR(__xludf.DUMMYFUNCTION("""COMPUTED_VALUE"""),"new_page")</f>
        <v>new_page</v>
      </c>
      <c r="E1014" s="1">
        <f>IFERROR(__xludf.DUMMYFUNCTION("""COMPUTED_VALUE"""),0.0)</f>
        <v>0</v>
      </c>
    </row>
    <row r="1015">
      <c r="A1015" s="1">
        <f>IFERROR(__xludf.DUMMYFUNCTION("""COMPUTED_VALUE"""),710344.0)</f>
        <v>710344</v>
      </c>
      <c r="B1015" s="2">
        <f>IFERROR(__xludf.DUMMYFUNCTION("""COMPUTED_VALUE"""),42742.712896410674)</f>
        <v>42742.7129</v>
      </c>
      <c r="C1015" s="1" t="str">
        <f>IFERROR(__xludf.DUMMYFUNCTION("""COMPUTED_VALUE"""),"treatment")</f>
        <v>treatment</v>
      </c>
      <c r="D1015" s="1" t="str">
        <f>IFERROR(__xludf.DUMMYFUNCTION("""COMPUTED_VALUE"""),"new_page")</f>
        <v>new_page</v>
      </c>
      <c r="E1015" s="1">
        <f>IFERROR(__xludf.DUMMYFUNCTION("""COMPUTED_VALUE"""),1.0)</f>
        <v>1</v>
      </c>
    </row>
    <row r="1016">
      <c r="A1016" s="1">
        <f>IFERROR(__xludf.DUMMYFUNCTION("""COMPUTED_VALUE"""),793842.0)</f>
        <v>793842</v>
      </c>
      <c r="B1016" s="2">
        <f>IFERROR(__xludf.DUMMYFUNCTION("""COMPUTED_VALUE"""),42756.4719544632)</f>
        <v>42756.47195</v>
      </c>
      <c r="C1016" s="1" t="str">
        <f>IFERROR(__xludf.DUMMYFUNCTION("""COMPUTED_VALUE"""),"control")</f>
        <v>control</v>
      </c>
      <c r="D1016" s="1" t="str">
        <f>IFERROR(__xludf.DUMMYFUNCTION("""COMPUTED_VALUE"""),"old_page")</f>
        <v>old_page</v>
      </c>
      <c r="E1016" s="1">
        <f>IFERROR(__xludf.DUMMYFUNCTION("""COMPUTED_VALUE"""),0.0)</f>
        <v>0</v>
      </c>
    </row>
    <row r="1017">
      <c r="A1017" s="1">
        <f>IFERROR(__xludf.DUMMYFUNCTION("""COMPUTED_VALUE"""),912451.0)</f>
        <v>912451</v>
      </c>
      <c r="B1017" s="2">
        <f>IFERROR(__xludf.DUMMYFUNCTION("""COMPUTED_VALUE"""),42743.80537208408)</f>
        <v>42743.80537</v>
      </c>
      <c r="C1017" s="1" t="str">
        <f>IFERROR(__xludf.DUMMYFUNCTION("""COMPUTED_VALUE"""),"control")</f>
        <v>control</v>
      </c>
      <c r="D1017" s="1" t="str">
        <f>IFERROR(__xludf.DUMMYFUNCTION("""COMPUTED_VALUE"""),"old_page")</f>
        <v>old_page</v>
      </c>
      <c r="E1017" s="1">
        <f>IFERROR(__xludf.DUMMYFUNCTION("""COMPUTED_VALUE"""),0.0)</f>
        <v>0</v>
      </c>
    </row>
    <row r="1018">
      <c r="A1018" s="1">
        <f>IFERROR(__xludf.DUMMYFUNCTION("""COMPUTED_VALUE"""),843231.0)</f>
        <v>843231</v>
      </c>
      <c r="B1018" s="2">
        <f>IFERROR(__xludf.DUMMYFUNCTION("""COMPUTED_VALUE"""),42741.63052304822)</f>
        <v>42741.63052</v>
      </c>
      <c r="C1018" s="1" t="str">
        <f>IFERROR(__xludf.DUMMYFUNCTION("""COMPUTED_VALUE"""),"control")</f>
        <v>control</v>
      </c>
      <c r="D1018" s="1" t="str">
        <f>IFERROR(__xludf.DUMMYFUNCTION("""COMPUTED_VALUE"""),"old_page")</f>
        <v>old_page</v>
      </c>
      <c r="E1018" s="1">
        <f>IFERROR(__xludf.DUMMYFUNCTION("""COMPUTED_VALUE"""),0.0)</f>
        <v>0</v>
      </c>
    </row>
    <row r="1019">
      <c r="A1019" s="1">
        <f>IFERROR(__xludf.DUMMYFUNCTION("""COMPUTED_VALUE"""),783844.0)</f>
        <v>783844</v>
      </c>
      <c r="B1019" s="2">
        <f>IFERROR(__xludf.DUMMYFUNCTION("""COMPUTED_VALUE"""),42757.368970229545)</f>
        <v>42757.36897</v>
      </c>
      <c r="C1019" s="1" t="str">
        <f>IFERROR(__xludf.DUMMYFUNCTION("""COMPUTED_VALUE"""),"treatment")</f>
        <v>treatment</v>
      </c>
      <c r="D1019" s="1" t="str">
        <f>IFERROR(__xludf.DUMMYFUNCTION("""COMPUTED_VALUE"""),"new_page")</f>
        <v>new_page</v>
      </c>
      <c r="E1019" s="1">
        <f>IFERROR(__xludf.DUMMYFUNCTION("""COMPUTED_VALUE"""),0.0)</f>
        <v>0</v>
      </c>
    </row>
    <row r="1020">
      <c r="A1020" s="1">
        <f>IFERROR(__xludf.DUMMYFUNCTION("""COMPUTED_VALUE"""),738629.0)</f>
        <v>738629</v>
      </c>
      <c r="B1020" s="2">
        <f>IFERROR(__xludf.DUMMYFUNCTION("""COMPUTED_VALUE"""),42759.43964399996)</f>
        <v>42759.43964</v>
      </c>
      <c r="C1020" s="1" t="str">
        <f>IFERROR(__xludf.DUMMYFUNCTION("""COMPUTED_VALUE"""),"treatment")</f>
        <v>treatment</v>
      </c>
      <c r="D1020" s="1" t="str">
        <f>IFERROR(__xludf.DUMMYFUNCTION("""COMPUTED_VALUE"""),"new_page")</f>
        <v>new_page</v>
      </c>
      <c r="E1020" s="1">
        <f>IFERROR(__xludf.DUMMYFUNCTION("""COMPUTED_VALUE"""),0.0)</f>
        <v>0</v>
      </c>
    </row>
    <row r="1021">
      <c r="A1021" s="1">
        <f>IFERROR(__xludf.DUMMYFUNCTION("""COMPUTED_VALUE"""),645254.0)</f>
        <v>645254</v>
      </c>
      <c r="B1021" s="2">
        <f>IFERROR(__xludf.DUMMYFUNCTION("""COMPUTED_VALUE"""),42755.55448636023)</f>
        <v>42755.55449</v>
      </c>
      <c r="C1021" s="1" t="str">
        <f>IFERROR(__xludf.DUMMYFUNCTION("""COMPUTED_VALUE"""),"control")</f>
        <v>control</v>
      </c>
      <c r="D1021" s="1" t="str">
        <f>IFERROR(__xludf.DUMMYFUNCTION("""COMPUTED_VALUE"""),"old_page")</f>
        <v>old_page</v>
      </c>
      <c r="E1021" s="1">
        <f>IFERROR(__xludf.DUMMYFUNCTION("""COMPUTED_VALUE"""),0.0)</f>
        <v>0</v>
      </c>
    </row>
    <row r="1022">
      <c r="A1022" s="1">
        <f>IFERROR(__xludf.DUMMYFUNCTION("""COMPUTED_VALUE"""),769197.0)</f>
        <v>769197</v>
      </c>
      <c r="B1022" s="2">
        <f>IFERROR(__xludf.DUMMYFUNCTION("""COMPUTED_VALUE"""),42743.796255317175)</f>
        <v>42743.79626</v>
      </c>
      <c r="C1022" s="1" t="str">
        <f>IFERROR(__xludf.DUMMYFUNCTION("""COMPUTED_VALUE"""),"treatment")</f>
        <v>treatment</v>
      </c>
      <c r="D1022" s="1" t="str">
        <f>IFERROR(__xludf.DUMMYFUNCTION("""COMPUTED_VALUE"""),"new_page")</f>
        <v>new_page</v>
      </c>
      <c r="E1022" s="1">
        <f>IFERROR(__xludf.DUMMYFUNCTION("""COMPUTED_VALUE"""),0.0)</f>
        <v>0</v>
      </c>
    </row>
    <row r="1023">
      <c r="A1023" s="1">
        <f>IFERROR(__xludf.DUMMYFUNCTION("""COMPUTED_VALUE"""),655435.0)</f>
        <v>655435</v>
      </c>
      <c r="B1023" s="2">
        <f>IFERROR(__xludf.DUMMYFUNCTION("""COMPUTED_VALUE"""),42738.349943818255)</f>
        <v>42738.34994</v>
      </c>
      <c r="C1023" s="1" t="str">
        <f>IFERROR(__xludf.DUMMYFUNCTION("""COMPUTED_VALUE"""),"control")</f>
        <v>control</v>
      </c>
      <c r="D1023" s="1" t="str">
        <f>IFERROR(__xludf.DUMMYFUNCTION("""COMPUTED_VALUE"""),"old_page")</f>
        <v>old_page</v>
      </c>
      <c r="E1023" s="1">
        <f>IFERROR(__xludf.DUMMYFUNCTION("""COMPUTED_VALUE"""),0.0)</f>
        <v>0</v>
      </c>
    </row>
    <row r="1024">
      <c r="A1024" s="1">
        <f>IFERROR(__xludf.DUMMYFUNCTION("""COMPUTED_VALUE"""),866220.0)</f>
        <v>866220</v>
      </c>
      <c r="B1024" s="2">
        <f>IFERROR(__xludf.DUMMYFUNCTION("""COMPUTED_VALUE"""),42752.12565950234)</f>
        <v>42752.12566</v>
      </c>
      <c r="C1024" s="1" t="str">
        <f>IFERROR(__xludf.DUMMYFUNCTION("""COMPUTED_VALUE"""),"control")</f>
        <v>control</v>
      </c>
      <c r="D1024" s="1" t="str">
        <f>IFERROR(__xludf.DUMMYFUNCTION("""COMPUTED_VALUE"""),"old_page")</f>
        <v>old_page</v>
      </c>
      <c r="E1024" s="1">
        <f>IFERROR(__xludf.DUMMYFUNCTION("""COMPUTED_VALUE"""),0.0)</f>
        <v>0</v>
      </c>
    </row>
    <row r="1025">
      <c r="A1025" s="1">
        <f>IFERROR(__xludf.DUMMYFUNCTION("""COMPUTED_VALUE"""),682712.0)</f>
        <v>682712</v>
      </c>
      <c r="B1025" s="2">
        <f>IFERROR(__xludf.DUMMYFUNCTION("""COMPUTED_VALUE"""),42742.55767065456)</f>
        <v>42742.55767</v>
      </c>
      <c r="C1025" s="1" t="str">
        <f>IFERROR(__xludf.DUMMYFUNCTION("""COMPUTED_VALUE"""),"control")</f>
        <v>control</v>
      </c>
      <c r="D1025" s="1" t="str">
        <f>IFERROR(__xludf.DUMMYFUNCTION("""COMPUTED_VALUE"""),"old_page")</f>
        <v>old_page</v>
      </c>
      <c r="E1025" s="1">
        <f>IFERROR(__xludf.DUMMYFUNCTION("""COMPUTED_VALUE"""),0.0)</f>
        <v>0</v>
      </c>
    </row>
    <row r="1026">
      <c r="A1026" s="1">
        <f>IFERROR(__xludf.DUMMYFUNCTION("""COMPUTED_VALUE"""),729596.0)</f>
        <v>729596</v>
      </c>
      <c r="B1026" s="2">
        <f>IFERROR(__xludf.DUMMYFUNCTION("""COMPUTED_VALUE"""),42741.166865027764)</f>
        <v>42741.16687</v>
      </c>
      <c r="C1026" s="1" t="str">
        <f>IFERROR(__xludf.DUMMYFUNCTION("""COMPUTED_VALUE"""),"control")</f>
        <v>control</v>
      </c>
      <c r="D1026" s="1" t="str">
        <f>IFERROR(__xludf.DUMMYFUNCTION("""COMPUTED_VALUE"""),"old_page")</f>
        <v>old_page</v>
      </c>
      <c r="E1026" s="1">
        <f>IFERROR(__xludf.DUMMYFUNCTION("""COMPUTED_VALUE"""),0.0)</f>
        <v>0</v>
      </c>
    </row>
    <row r="1027">
      <c r="A1027" s="1">
        <f>IFERROR(__xludf.DUMMYFUNCTION("""COMPUTED_VALUE"""),920810.0)</f>
        <v>920810</v>
      </c>
      <c r="B1027" s="2">
        <f>IFERROR(__xludf.DUMMYFUNCTION("""COMPUTED_VALUE"""),42748.171510646665)</f>
        <v>42748.17151</v>
      </c>
      <c r="C1027" s="1" t="str">
        <f>IFERROR(__xludf.DUMMYFUNCTION("""COMPUTED_VALUE"""),"control")</f>
        <v>control</v>
      </c>
      <c r="D1027" s="1" t="str">
        <f>IFERROR(__xludf.DUMMYFUNCTION("""COMPUTED_VALUE"""),"old_page")</f>
        <v>old_page</v>
      </c>
      <c r="E1027" s="1">
        <f>IFERROR(__xludf.DUMMYFUNCTION("""COMPUTED_VALUE"""),1.0)</f>
        <v>1</v>
      </c>
    </row>
    <row r="1028">
      <c r="A1028" s="1">
        <f>IFERROR(__xludf.DUMMYFUNCTION("""COMPUTED_VALUE"""),814834.0)</f>
        <v>814834</v>
      </c>
      <c r="B1028" s="2">
        <f>IFERROR(__xludf.DUMMYFUNCTION("""COMPUTED_VALUE"""),42752.492932592555)</f>
        <v>42752.49293</v>
      </c>
      <c r="C1028" s="1" t="str">
        <f>IFERROR(__xludf.DUMMYFUNCTION("""COMPUTED_VALUE"""),"treatment")</f>
        <v>treatment</v>
      </c>
      <c r="D1028" s="1" t="str">
        <f>IFERROR(__xludf.DUMMYFUNCTION("""COMPUTED_VALUE"""),"new_page")</f>
        <v>new_page</v>
      </c>
      <c r="E1028" s="1">
        <f>IFERROR(__xludf.DUMMYFUNCTION("""COMPUTED_VALUE"""),0.0)</f>
        <v>0</v>
      </c>
    </row>
    <row r="1029">
      <c r="A1029" s="1">
        <f>IFERROR(__xludf.DUMMYFUNCTION("""COMPUTED_VALUE"""),821916.0)</f>
        <v>821916</v>
      </c>
      <c r="B1029" s="2">
        <f>IFERROR(__xludf.DUMMYFUNCTION("""COMPUTED_VALUE"""),42737.60046557147)</f>
        <v>42737.60047</v>
      </c>
      <c r="C1029" s="1" t="str">
        <f>IFERROR(__xludf.DUMMYFUNCTION("""COMPUTED_VALUE"""),"treatment")</f>
        <v>treatment</v>
      </c>
      <c r="D1029" s="1" t="str">
        <f>IFERROR(__xludf.DUMMYFUNCTION("""COMPUTED_VALUE"""),"new_page")</f>
        <v>new_page</v>
      </c>
      <c r="E1029" s="1">
        <f>IFERROR(__xludf.DUMMYFUNCTION("""COMPUTED_VALUE"""),0.0)</f>
        <v>0</v>
      </c>
    </row>
    <row r="1030">
      <c r="A1030" s="1">
        <f>IFERROR(__xludf.DUMMYFUNCTION("""COMPUTED_VALUE"""),857289.0)</f>
        <v>857289</v>
      </c>
      <c r="B1030" s="2">
        <f>IFERROR(__xludf.DUMMYFUNCTION("""COMPUTED_VALUE"""),42747.82563113507)</f>
        <v>42747.82563</v>
      </c>
      <c r="C1030" s="1" t="str">
        <f>IFERROR(__xludf.DUMMYFUNCTION("""COMPUTED_VALUE"""),"treatment")</f>
        <v>treatment</v>
      </c>
      <c r="D1030" s="1" t="str">
        <f>IFERROR(__xludf.DUMMYFUNCTION("""COMPUTED_VALUE"""),"new_page")</f>
        <v>new_page</v>
      </c>
      <c r="E1030" s="1">
        <f>IFERROR(__xludf.DUMMYFUNCTION("""COMPUTED_VALUE"""),0.0)</f>
        <v>0</v>
      </c>
    </row>
    <row r="1031">
      <c r="A1031" s="1">
        <f>IFERROR(__xludf.DUMMYFUNCTION("""COMPUTED_VALUE"""),677142.0)</f>
        <v>677142</v>
      </c>
      <c r="B1031" s="2">
        <f>IFERROR(__xludf.DUMMYFUNCTION("""COMPUTED_VALUE"""),42752.22915345736)</f>
        <v>42752.22915</v>
      </c>
      <c r="C1031" s="1" t="str">
        <f>IFERROR(__xludf.DUMMYFUNCTION("""COMPUTED_VALUE"""),"control")</f>
        <v>control</v>
      </c>
      <c r="D1031" s="1" t="str">
        <f>IFERROR(__xludf.DUMMYFUNCTION("""COMPUTED_VALUE"""),"old_page")</f>
        <v>old_page</v>
      </c>
      <c r="E1031" s="1">
        <f>IFERROR(__xludf.DUMMYFUNCTION("""COMPUTED_VALUE"""),0.0)</f>
        <v>0</v>
      </c>
    </row>
    <row r="1032">
      <c r="A1032" s="1">
        <f>IFERROR(__xludf.DUMMYFUNCTION("""COMPUTED_VALUE"""),838210.0)</f>
        <v>838210</v>
      </c>
      <c r="B1032" s="2">
        <f>IFERROR(__xludf.DUMMYFUNCTION("""COMPUTED_VALUE"""),42745.88308557788)</f>
        <v>42745.88309</v>
      </c>
      <c r="C1032" s="1" t="str">
        <f>IFERROR(__xludf.DUMMYFUNCTION("""COMPUTED_VALUE"""),"control")</f>
        <v>control</v>
      </c>
      <c r="D1032" s="1" t="str">
        <f>IFERROR(__xludf.DUMMYFUNCTION("""COMPUTED_VALUE"""),"old_page")</f>
        <v>old_page</v>
      </c>
      <c r="E1032" s="1">
        <f>IFERROR(__xludf.DUMMYFUNCTION("""COMPUTED_VALUE"""),0.0)</f>
        <v>0</v>
      </c>
    </row>
    <row r="1033">
      <c r="A1033" s="1">
        <f>IFERROR(__xludf.DUMMYFUNCTION("""COMPUTED_VALUE"""),865349.0)</f>
        <v>865349</v>
      </c>
      <c r="B1033" s="2">
        <f>IFERROR(__xludf.DUMMYFUNCTION("""COMPUTED_VALUE"""),42758.214846026865)</f>
        <v>42758.21485</v>
      </c>
      <c r="C1033" s="1" t="str">
        <f>IFERROR(__xludf.DUMMYFUNCTION("""COMPUTED_VALUE"""),"control")</f>
        <v>control</v>
      </c>
      <c r="D1033" s="1" t="str">
        <f>IFERROR(__xludf.DUMMYFUNCTION("""COMPUTED_VALUE"""),"old_page")</f>
        <v>old_page</v>
      </c>
      <c r="E1033" s="1">
        <f>IFERROR(__xludf.DUMMYFUNCTION("""COMPUTED_VALUE"""),0.0)</f>
        <v>0</v>
      </c>
    </row>
    <row r="1034">
      <c r="A1034" s="1">
        <f>IFERROR(__xludf.DUMMYFUNCTION("""COMPUTED_VALUE"""),768756.0)</f>
        <v>768756</v>
      </c>
      <c r="B1034" s="2">
        <f>IFERROR(__xludf.DUMMYFUNCTION("""COMPUTED_VALUE"""),42759.48957714352)</f>
        <v>42759.48958</v>
      </c>
      <c r="C1034" s="1" t="str">
        <f>IFERROR(__xludf.DUMMYFUNCTION("""COMPUTED_VALUE"""),"treatment")</f>
        <v>treatment</v>
      </c>
      <c r="D1034" s="1" t="str">
        <f>IFERROR(__xludf.DUMMYFUNCTION("""COMPUTED_VALUE"""),"new_page")</f>
        <v>new_page</v>
      </c>
      <c r="E1034" s="1">
        <f>IFERROR(__xludf.DUMMYFUNCTION("""COMPUTED_VALUE"""),0.0)</f>
        <v>0</v>
      </c>
    </row>
    <row r="1035">
      <c r="A1035" s="1">
        <f>IFERROR(__xludf.DUMMYFUNCTION("""COMPUTED_VALUE"""),771653.0)</f>
        <v>771653</v>
      </c>
      <c r="B1035" s="2">
        <f>IFERROR(__xludf.DUMMYFUNCTION("""COMPUTED_VALUE"""),42738.150116705)</f>
        <v>42738.15012</v>
      </c>
      <c r="C1035" s="1" t="str">
        <f>IFERROR(__xludf.DUMMYFUNCTION("""COMPUTED_VALUE"""),"treatment")</f>
        <v>treatment</v>
      </c>
      <c r="D1035" s="1" t="str">
        <f>IFERROR(__xludf.DUMMYFUNCTION("""COMPUTED_VALUE"""),"new_page")</f>
        <v>new_page</v>
      </c>
      <c r="E1035" s="1">
        <f>IFERROR(__xludf.DUMMYFUNCTION("""COMPUTED_VALUE"""),0.0)</f>
        <v>0</v>
      </c>
    </row>
    <row r="1036">
      <c r="A1036" s="1">
        <f>IFERROR(__xludf.DUMMYFUNCTION("""COMPUTED_VALUE"""),860351.0)</f>
        <v>860351</v>
      </c>
      <c r="B1036" s="2">
        <f>IFERROR(__xludf.DUMMYFUNCTION("""COMPUTED_VALUE"""),42741.285429511205)</f>
        <v>42741.28543</v>
      </c>
      <c r="C1036" s="1" t="str">
        <f>IFERROR(__xludf.DUMMYFUNCTION("""COMPUTED_VALUE"""),"treatment")</f>
        <v>treatment</v>
      </c>
      <c r="D1036" s="1" t="str">
        <f>IFERROR(__xludf.DUMMYFUNCTION("""COMPUTED_VALUE"""),"new_page")</f>
        <v>new_page</v>
      </c>
      <c r="E1036" s="1">
        <f>IFERROR(__xludf.DUMMYFUNCTION("""COMPUTED_VALUE"""),0.0)</f>
        <v>0</v>
      </c>
    </row>
    <row r="1037">
      <c r="A1037" s="1">
        <f>IFERROR(__xludf.DUMMYFUNCTION("""COMPUTED_VALUE"""),932463.0)</f>
        <v>932463</v>
      </c>
      <c r="B1037" s="2">
        <f>IFERROR(__xludf.DUMMYFUNCTION("""COMPUTED_VALUE"""),42758.64805304794)</f>
        <v>42758.64805</v>
      </c>
      <c r="C1037" s="1" t="str">
        <f>IFERROR(__xludf.DUMMYFUNCTION("""COMPUTED_VALUE"""),"treatment")</f>
        <v>treatment</v>
      </c>
      <c r="D1037" s="1" t="str">
        <f>IFERROR(__xludf.DUMMYFUNCTION("""COMPUTED_VALUE"""),"new_page")</f>
        <v>new_page</v>
      </c>
      <c r="E1037" s="1">
        <f>IFERROR(__xludf.DUMMYFUNCTION("""COMPUTED_VALUE"""),0.0)</f>
        <v>0</v>
      </c>
    </row>
    <row r="1038">
      <c r="A1038" s="1">
        <f>IFERROR(__xludf.DUMMYFUNCTION("""COMPUTED_VALUE"""),790901.0)</f>
        <v>790901</v>
      </c>
      <c r="B1038" s="2">
        <f>IFERROR(__xludf.DUMMYFUNCTION("""COMPUTED_VALUE"""),42738.71000761398)</f>
        <v>42738.71001</v>
      </c>
      <c r="C1038" s="1" t="str">
        <f>IFERROR(__xludf.DUMMYFUNCTION("""COMPUTED_VALUE"""),"control")</f>
        <v>control</v>
      </c>
      <c r="D1038" s="1" t="str">
        <f>IFERROR(__xludf.DUMMYFUNCTION("""COMPUTED_VALUE"""),"old_page")</f>
        <v>old_page</v>
      </c>
      <c r="E1038" s="1">
        <f>IFERROR(__xludf.DUMMYFUNCTION("""COMPUTED_VALUE"""),0.0)</f>
        <v>0</v>
      </c>
    </row>
    <row r="1039">
      <c r="A1039" s="1">
        <f>IFERROR(__xludf.DUMMYFUNCTION("""COMPUTED_VALUE"""),880442.0)</f>
        <v>880442</v>
      </c>
      <c r="B1039" s="2">
        <f>IFERROR(__xludf.DUMMYFUNCTION("""COMPUTED_VALUE"""),42742.904618365916)</f>
        <v>42742.90462</v>
      </c>
      <c r="C1039" s="1" t="str">
        <f>IFERROR(__xludf.DUMMYFUNCTION("""COMPUTED_VALUE"""),"treatment")</f>
        <v>treatment</v>
      </c>
      <c r="D1039" s="1" t="str">
        <f>IFERROR(__xludf.DUMMYFUNCTION("""COMPUTED_VALUE"""),"old_page")</f>
        <v>old_page</v>
      </c>
      <c r="E1039" s="1">
        <f>IFERROR(__xludf.DUMMYFUNCTION("""COMPUTED_VALUE"""),0.0)</f>
        <v>0</v>
      </c>
    </row>
    <row r="1040">
      <c r="A1040" s="1">
        <f>IFERROR(__xludf.DUMMYFUNCTION("""COMPUTED_VALUE"""),639442.0)</f>
        <v>639442</v>
      </c>
      <c r="B1040" s="2">
        <f>IFERROR(__xludf.DUMMYFUNCTION("""COMPUTED_VALUE"""),42755.11828311784)</f>
        <v>42755.11828</v>
      </c>
      <c r="C1040" s="1" t="str">
        <f>IFERROR(__xludf.DUMMYFUNCTION("""COMPUTED_VALUE"""),"treatment")</f>
        <v>treatment</v>
      </c>
      <c r="D1040" s="1" t="str">
        <f>IFERROR(__xludf.DUMMYFUNCTION("""COMPUTED_VALUE"""),"new_page")</f>
        <v>new_page</v>
      </c>
      <c r="E1040" s="1">
        <f>IFERROR(__xludf.DUMMYFUNCTION("""COMPUTED_VALUE"""),0.0)</f>
        <v>0</v>
      </c>
    </row>
    <row r="1041">
      <c r="A1041" s="1">
        <f>IFERROR(__xludf.DUMMYFUNCTION("""COMPUTED_VALUE"""),784957.0)</f>
        <v>784957</v>
      </c>
      <c r="B1041" s="2">
        <f>IFERROR(__xludf.DUMMYFUNCTION("""COMPUTED_VALUE"""),42751.81802606425)</f>
        <v>42751.81803</v>
      </c>
      <c r="C1041" s="1" t="str">
        <f>IFERROR(__xludf.DUMMYFUNCTION("""COMPUTED_VALUE"""),"treatment")</f>
        <v>treatment</v>
      </c>
      <c r="D1041" s="1" t="str">
        <f>IFERROR(__xludf.DUMMYFUNCTION("""COMPUTED_VALUE"""),"new_page")</f>
        <v>new_page</v>
      </c>
      <c r="E1041" s="1">
        <f>IFERROR(__xludf.DUMMYFUNCTION("""COMPUTED_VALUE"""),0.0)</f>
        <v>0</v>
      </c>
    </row>
    <row r="1042">
      <c r="A1042" s="1">
        <f>IFERROR(__xludf.DUMMYFUNCTION("""COMPUTED_VALUE"""),821140.0)</f>
        <v>821140</v>
      </c>
      <c r="B1042" s="2">
        <f>IFERROR(__xludf.DUMMYFUNCTION("""COMPUTED_VALUE"""),42745.7811483967)</f>
        <v>42745.78115</v>
      </c>
      <c r="C1042" s="1" t="str">
        <f>IFERROR(__xludf.DUMMYFUNCTION("""COMPUTED_VALUE"""),"treatment")</f>
        <v>treatment</v>
      </c>
      <c r="D1042" s="1" t="str">
        <f>IFERROR(__xludf.DUMMYFUNCTION("""COMPUTED_VALUE"""),"new_page")</f>
        <v>new_page</v>
      </c>
      <c r="E1042" s="1">
        <f>IFERROR(__xludf.DUMMYFUNCTION("""COMPUTED_VALUE"""),1.0)</f>
        <v>1</v>
      </c>
    </row>
    <row r="1043">
      <c r="A1043" s="1">
        <f>IFERROR(__xludf.DUMMYFUNCTION("""COMPUTED_VALUE"""),850997.0)</f>
        <v>850997</v>
      </c>
      <c r="B1043" s="2">
        <f>IFERROR(__xludf.DUMMYFUNCTION("""COMPUTED_VALUE"""),42755.30352196522)</f>
        <v>42755.30352</v>
      </c>
      <c r="C1043" s="1" t="str">
        <f>IFERROR(__xludf.DUMMYFUNCTION("""COMPUTED_VALUE"""),"treatment")</f>
        <v>treatment</v>
      </c>
      <c r="D1043" s="1" t="str">
        <f>IFERROR(__xludf.DUMMYFUNCTION("""COMPUTED_VALUE"""),"new_page")</f>
        <v>new_page</v>
      </c>
      <c r="E1043" s="1">
        <f>IFERROR(__xludf.DUMMYFUNCTION("""COMPUTED_VALUE"""),0.0)</f>
        <v>0</v>
      </c>
    </row>
    <row r="1044">
      <c r="A1044" s="1">
        <f>IFERROR(__xludf.DUMMYFUNCTION("""COMPUTED_VALUE"""),912936.0)</f>
        <v>912936</v>
      </c>
      <c r="B1044" s="2">
        <f>IFERROR(__xludf.DUMMYFUNCTION("""COMPUTED_VALUE"""),42752.202756203646)</f>
        <v>42752.20276</v>
      </c>
      <c r="C1044" s="1" t="str">
        <f>IFERROR(__xludf.DUMMYFUNCTION("""COMPUTED_VALUE"""),"control")</f>
        <v>control</v>
      </c>
      <c r="D1044" s="1" t="str">
        <f>IFERROR(__xludf.DUMMYFUNCTION("""COMPUTED_VALUE"""),"old_page")</f>
        <v>old_page</v>
      </c>
      <c r="E1044" s="1">
        <f>IFERROR(__xludf.DUMMYFUNCTION("""COMPUTED_VALUE"""),0.0)</f>
        <v>0</v>
      </c>
    </row>
    <row r="1045">
      <c r="A1045" s="1">
        <f>IFERROR(__xludf.DUMMYFUNCTION("""COMPUTED_VALUE"""),869205.0)</f>
        <v>869205</v>
      </c>
      <c r="B1045" s="2">
        <f>IFERROR(__xludf.DUMMYFUNCTION("""COMPUTED_VALUE"""),42745.149136874075)</f>
        <v>42745.14914</v>
      </c>
      <c r="C1045" s="1" t="str">
        <f>IFERROR(__xludf.DUMMYFUNCTION("""COMPUTED_VALUE"""),"control")</f>
        <v>control</v>
      </c>
      <c r="D1045" s="1" t="str">
        <f>IFERROR(__xludf.DUMMYFUNCTION("""COMPUTED_VALUE"""),"old_page")</f>
        <v>old_page</v>
      </c>
      <c r="E1045" s="1">
        <f>IFERROR(__xludf.DUMMYFUNCTION("""COMPUTED_VALUE"""),0.0)</f>
        <v>0</v>
      </c>
    </row>
    <row r="1046">
      <c r="A1046" s="1">
        <f>IFERROR(__xludf.DUMMYFUNCTION("""COMPUTED_VALUE"""),821930.0)</f>
        <v>821930</v>
      </c>
      <c r="B1046" s="2">
        <f>IFERROR(__xludf.DUMMYFUNCTION("""COMPUTED_VALUE"""),42745.04015927109)</f>
        <v>42745.04016</v>
      </c>
      <c r="C1046" s="1" t="str">
        <f>IFERROR(__xludf.DUMMYFUNCTION("""COMPUTED_VALUE"""),"control")</f>
        <v>control</v>
      </c>
      <c r="D1046" s="1" t="str">
        <f>IFERROR(__xludf.DUMMYFUNCTION("""COMPUTED_VALUE"""),"old_page")</f>
        <v>old_page</v>
      </c>
      <c r="E1046" s="1">
        <f>IFERROR(__xludf.DUMMYFUNCTION("""COMPUTED_VALUE"""),0.0)</f>
        <v>0</v>
      </c>
    </row>
    <row r="1047">
      <c r="A1047" s="1">
        <f>IFERROR(__xludf.DUMMYFUNCTION("""COMPUTED_VALUE"""),675868.0)</f>
        <v>675868</v>
      </c>
      <c r="B1047" s="2">
        <f>IFERROR(__xludf.DUMMYFUNCTION("""COMPUTED_VALUE"""),42739.98312497135)</f>
        <v>42739.98312</v>
      </c>
      <c r="C1047" s="1" t="str">
        <f>IFERROR(__xludf.DUMMYFUNCTION("""COMPUTED_VALUE"""),"control")</f>
        <v>control</v>
      </c>
      <c r="D1047" s="1" t="str">
        <f>IFERROR(__xludf.DUMMYFUNCTION("""COMPUTED_VALUE"""),"old_page")</f>
        <v>old_page</v>
      </c>
      <c r="E1047" s="1">
        <f>IFERROR(__xludf.DUMMYFUNCTION("""COMPUTED_VALUE"""),0.0)</f>
        <v>0</v>
      </c>
    </row>
    <row r="1048">
      <c r="A1048" s="1">
        <f>IFERROR(__xludf.DUMMYFUNCTION("""COMPUTED_VALUE"""),905799.0)</f>
        <v>905799</v>
      </c>
      <c r="B1048" s="2">
        <f>IFERROR(__xludf.DUMMYFUNCTION("""COMPUTED_VALUE"""),42758.95421953617)</f>
        <v>42758.95422</v>
      </c>
      <c r="C1048" s="1" t="str">
        <f>IFERROR(__xludf.DUMMYFUNCTION("""COMPUTED_VALUE"""),"treatment")</f>
        <v>treatment</v>
      </c>
      <c r="D1048" s="1" t="str">
        <f>IFERROR(__xludf.DUMMYFUNCTION("""COMPUTED_VALUE"""),"new_page")</f>
        <v>new_page</v>
      </c>
      <c r="E1048" s="1">
        <f>IFERROR(__xludf.DUMMYFUNCTION("""COMPUTED_VALUE"""),0.0)</f>
        <v>0</v>
      </c>
    </row>
    <row r="1049">
      <c r="A1049" s="1">
        <f>IFERROR(__xludf.DUMMYFUNCTION("""COMPUTED_VALUE"""),699928.0)</f>
        <v>699928</v>
      </c>
      <c r="B1049" s="2">
        <f>IFERROR(__xludf.DUMMYFUNCTION("""COMPUTED_VALUE"""),42741.60559190435)</f>
        <v>42741.60559</v>
      </c>
      <c r="C1049" s="1" t="str">
        <f>IFERROR(__xludf.DUMMYFUNCTION("""COMPUTED_VALUE"""),"treatment")</f>
        <v>treatment</v>
      </c>
      <c r="D1049" s="1" t="str">
        <f>IFERROR(__xludf.DUMMYFUNCTION("""COMPUTED_VALUE"""),"new_page")</f>
        <v>new_page</v>
      </c>
      <c r="E1049" s="1">
        <f>IFERROR(__xludf.DUMMYFUNCTION("""COMPUTED_VALUE"""),0.0)</f>
        <v>0</v>
      </c>
    </row>
    <row r="1050">
      <c r="A1050" s="1">
        <f>IFERROR(__xludf.DUMMYFUNCTION("""COMPUTED_VALUE"""),691979.0)</f>
        <v>691979</v>
      </c>
      <c r="B1050" s="2">
        <f>IFERROR(__xludf.DUMMYFUNCTION("""COMPUTED_VALUE"""),42753.70011026763)</f>
        <v>42753.70011</v>
      </c>
      <c r="C1050" s="1" t="str">
        <f>IFERROR(__xludf.DUMMYFUNCTION("""COMPUTED_VALUE"""),"treatment")</f>
        <v>treatment</v>
      </c>
      <c r="D1050" s="1" t="str">
        <f>IFERROR(__xludf.DUMMYFUNCTION("""COMPUTED_VALUE"""),"new_page")</f>
        <v>new_page</v>
      </c>
      <c r="E1050" s="1">
        <f>IFERROR(__xludf.DUMMYFUNCTION("""COMPUTED_VALUE"""),0.0)</f>
        <v>0</v>
      </c>
    </row>
    <row r="1051">
      <c r="A1051" s="1">
        <f>IFERROR(__xludf.DUMMYFUNCTION("""COMPUTED_VALUE"""),662907.0)</f>
        <v>662907</v>
      </c>
      <c r="B1051" s="2">
        <f>IFERROR(__xludf.DUMMYFUNCTION("""COMPUTED_VALUE"""),42747.950561953796)</f>
        <v>42747.95056</v>
      </c>
      <c r="C1051" s="1" t="str">
        <f>IFERROR(__xludf.DUMMYFUNCTION("""COMPUTED_VALUE"""),"control")</f>
        <v>control</v>
      </c>
      <c r="D1051" s="1" t="str">
        <f>IFERROR(__xludf.DUMMYFUNCTION("""COMPUTED_VALUE"""),"old_page")</f>
        <v>old_page</v>
      </c>
      <c r="E1051" s="1">
        <f>IFERROR(__xludf.DUMMYFUNCTION("""COMPUTED_VALUE"""),0.0)</f>
        <v>0</v>
      </c>
    </row>
    <row r="1052">
      <c r="A1052" s="1">
        <f>IFERROR(__xludf.DUMMYFUNCTION("""COMPUTED_VALUE"""),857865.0)</f>
        <v>857865</v>
      </c>
      <c r="B1052" s="2">
        <f>IFERROR(__xludf.DUMMYFUNCTION("""COMPUTED_VALUE"""),42739.88497293027)</f>
        <v>42739.88497</v>
      </c>
      <c r="C1052" s="1" t="str">
        <f>IFERROR(__xludf.DUMMYFUNCTION("""COMPUTED_VALUE"""),"treatment")</f>
        <v>treatment</v>
      </c>
      <c r="D1052" s="1" t="str">
        <f>IFERROR(__xludf.DUMMYFUNCTION("""COMPUTED_VALUE"""),"new_page")</f>
        <v>new_page</v>
      </c>
      <c r="E1052" s="1">
        <f>IFERROR(__xludf.DUMMYFUNCTION("""COMPUTED_VALUE"""),0.0)</f>
        <v>0</v>
      </c>
    </row>
    <row r="1053">
      <c r="A1053" s="1">
        <f>IFERROR(__xludf.DUMMYFUNCTION("""COMPUTED_VALUE"""),895568.0)</f>
        <v>895568</v>
      </c>
      <c r="B1053" s="2">
        <f>IFERROR(__xludf.DUMMYFUNCTION("""COMPUTED_VALUE"""),42739.60863698783)</f>
        <v>42739.60864</v>
      </c>
      <c r="C1053" s="1" t="str">
        <f>IFERROR(__xludf.DUMMYFUNCTION("""COMPUTED_VALUE"""),"treatment")</f>
        <v>treatment</v>
      </c>
      <c r="D1053" s="1" t="str">
        <f>IFERROR(__xludf.DUMMYFUNCTION("""COMPUTED_VALUE"""),"new_page")</f>
        <v>new_page</v>
      </c>
      <c r="E1053" s="1">
        <f>IFERROR(__xludf.DUMMYFUNCTION("""COMPUTED_VALUE"""),0.0)</f>
        <v>0</v>
      </c>
    </row>
    <row r="1054">
      <c r="A1054" s="1">
        <f>IFERROR(__xludf.DUMMYFUNCTION("""COMPUTED_VALUE"""),683246.0)</f>
        <v>683246</v>
      </c>
      <c r="B1054" s="2">
        <f>IFERROR(__xludf.DUMMYFUNCTION("""COMPUTED_VALUE"""),42755.13062162897)</f>
        <v>42755.13062</v>
      </c>
      <c r="C1054" s="1" t="str">
        <f>IFERROR(__xludf.DUMMYFUNCTION("""COMPUTED_VALUE"""),"treatment")</f>
        <v>treatment</v>
      </c>
      <c r="D1054" s="1" t="str">
        <f>IFERROR(__xludf.DUMMYFUNCTION("""COMPUTED_VALUE"""),"new_page")</f>
        <v>new_page</v>
      </c>
      <c r="E1054" s="1">
        <f>IFERROR(__xludf.DUMMYFUNCTION("""COMPUTED_VALUE"""),0.0)</f>
        <v>0</v>
      </c>
    </row>
    <row r="1055">
      <c r="A1055" s="1">
        <f>IFERROR(__xludf.DUMMYFUNCTION("""COMPUTED_VALUE"""),872687.0)</f>
        <v>872687</v>
      </c>
      <c r="B1055" s="2">
        <f>IFERROR(__xludf.DUMMYFUNCTION("""COMPUTED_VALUE"""),42753.827803508946)</f>
        <v>42753.8278</v>
      </c>
      <c r="C1055" s="1" t="str">
        <f>IFERROR(__xludf.DUMMYFUNCTION("""COMPUTED_VALUE"""),"control")</f>
        <v>control</v>
      </c>
      <c r="D1055" s="1" t="str">
        <f>IFERROR(__xludf.DUMMYFUNCTION("""COMPUTED_VALUE"""),"old_page")</f>
        <v>old_page</v>
      </c>
      <c r="E1055" s="1">
        <f>IFERROR(__xludf.DUMMYFUNCTION("""COMPUTED_VALUE"""),0.0)</f>
        <v>0</v>
      </c>
    </row>
    <row r="1056">
      <c r="A1056" s="1">
        <f>IFERROR(__xludf.DUMMYFUNCTION("""COMPUTED_VALUE"""),678351.0)</f>
        <v>678351</v>
      </c>
      <c r="B1056" s="2">
        <f>IFERROR(__xludf.DUMMYFUNCTION("""COMPUTED_VALUE"""),42756.900925958274)</f>
        <v>42756.90093</v>
      </c>
      <c r="C1056" s="1" t="str">
        <f>IFERROR(__xludf.DUMMYFUNCTION("""COMPUTED_VALUE"""),"treatment")</f>
        <v>treatment</v>
      </c>
      <c r="D1056" s="1" t="str">
        <f>IFERROR(__xludf.DUMMYFUNCTION("""COMPUTED_VALUE"""),"new_page")</f>
        <v>new_page</v>
      </c>
      <c r="E1056" s="1">
        <f>IFERROR(__xludf.DUMMYFUNCTION("""COMPUTED_VALUE"""),0.0)</f>
        <v>0</v>
      </c>
    </row>
    <row r="1057">
      <c r="A1057" s="1">
        <f>IFERROR(__xludf.DUMMYFUNCTION("""COMPUTED_VALUE"""),844716.0)</f>
        <v>844716</v>
      </c>
      <c r="B1057" s="2">
        <f>IFERROR(__xludf.DUMMYFUNCTION("""COMPUTED_VALUE"""),42756.87678853091)</f>
        <v>42756.87679</v>
      </c>
      <c r="C1057" s="1" t="str">
        <f>IFERROR(__xludf.DUMMYFUNCTION("""COMPUTED_VALUE"""),"treatment")</f>
        <v>treatment</v>
      </c>
      <c r="D1057" s="1" t="str">
        <f>IFERROR(__xludf.DUMMYFUNCTION("""COMPUTED_VALUE"""),"new_page")</f>
        <v>new_page</v>
      </c>
      <c r="E1057" s="1">
        <f>IFERROR(__xludf.DUMMYFUNCTION("""COMPUTED_VALUE"""),0.0)</f>
        <v>0</v>
      </c>
    </row>
    <row r="1058">
      <c r="A1058" s="1">
        <f>IFERROR(__xludf.DUMMYFUNCTION("""COMPUTED_VALUE"""),944789.0)</f>
        <v>944789</v>
      </c>
      <c r="B1058" s="2">
        <f>IFERROR(__xludf.DUMMYFUNCTION("""COMPUTED_VALUE"""),42749.93278963955)</f>
        <v>42749.93279</v>
      </c>
      <c r="C1058" s="1" t="str">
        <f>IFERROR(__xludf.DUMMYFUNCTION("""COMPUTED_VALUE"""),"control")</f>
        <v>control</v>
      </c>
      <c r="D1058" s="1" t="str">
        <f>IFERROR(__xludf.DUMMYFUNCTION("""COMPUTED_VALUE"""),"old_page")</f>
        <v>old_page</v>
      </c>
      <c r="E1058" s="1">
        <f>IFERROR(__xludf.DUMMYFUNCTION("""COMPUTED_VALUE"""),0.0)</f>
        <v>0</v>
      </c>
    </row>
    <row r="1059">
      <c r="A1059" s="1">
        <f>IFERROR(__xludf.DUMMYFUNCTION("""COMPUTED_VALUE"""),813319.0)</f>
        <v>813319</v>
      </c>
      <c r="B1059" s="2">
        <f>IFERROR(__xludf.DUMMYFUNCTION("""COMPUTED_VALUE"""),42750.980037203146)</f>
        <v>42750.98004</v>
      </c>
      <c r="C1059" s="1" t="str">
        <f>IFERROR(__xludf.DUMMYFUNCTION("""COMPUTED_VALUE"""),"treatment")</f>
        <v>treatment</v>
      </c>
      <c r="D1059" s="1" t="str">
        <f>IFERROR(__xludf.DUMMYFUNCTION("""COMPUTED_VALUE"""),"new_page")</f>
        <v>new_page</v>
      </c>
      <c r="E1059" s="1">
        <f>IFERROR(__xludf.DUMMYFUNCTION("""COMPUTED_VALUE"""),0.0)</f>
        <v>0</v>
      </c>
    </row>
    <row r="1060">
      <c r="A1060" s="1">
        <f>IFERROR(__xludf.DUMMYFUNCTION("""COMPUTED_VALUE"""),745612.0)</f>
        <v>745612</v>
      </c>
      <c r="B1060" s="2">
        <f>IFERROR(__xludf.DUMMYFUNCTION("""COMPUTED_VALUE"""),42754.82761540242)</f>
        <v>42754.82762</v>
      </c>
      <c r="C1060" s="1" t="str">
        <f>IFERROR(__xludf.DUMMYFUNCTION("""COMPUTED_VALUE"""),"control")</f>
        <v>control</v>
      </c>
      <c r="D1060" s="1" t="str">
        <f>IFERROR(__xludf.DUMMYFUNCTION("""COMPUTED_VALUE"""),"old_page")</f>
        <v>old_page</v>
      </c>
      <c r="E1060" s="1">
        <f>IFERROR(__xludf.DUMMYFUNCTION("""COMPUTED_VALUE"""),0.0)</f>
        <v>0</v>
      </c>
    </row>
    <row r="1061">
      <c r="A1061" s="1">
        <f>IFERROR(__xludf.DUMMYFUNCTION("""COMPUTED_VALUE"""),637010.0)</f>
        <v>637010</v>
      </c>
      <c r="B1061" s="2">
        <f>IFERROR(__xludf.DUMMYFUNCTION("""COMPUTED_VALUE"""),42754.996214831874)</f>
        <v>42754.99621</v>
      </c>
      <c r="C1061" s="1" t="str">
        <f>IFERROR(__xludf.DUMMYFUNCTION("""COMPUTED_VALUE"""),"control")</f>
        <v>control</v>
      </c>
      <c r="D1061" s="1" t="str">
        <f>IFERROR(__xludf.DUMMYFUNCTION("""COMPUTED_VALUE"""),"old_page")</f>
        <v>old_page</v>
      </c>
      <c r="E1061" s="1">
        <f>IFERROR(__xludf.DUMMYFUNCTION("""COMPUTED_VALUE"""),0.0)</f>
        <v>0</v>
      </c>
    </row>
    <row r="1062">
      <c r="A1062" s="1">
        <f>IFERROR(__xludf.DUMMYFUNCTION("""COMPUTED_VALUE"""),670011.0)</f>
        <v>670011</v>
      </c>
      <c r="B1062" s="2">
        <f>IFERROR(__xludf.DUMMYFUNCTION("""COMPUTED_VALUE"""),42752.08848724331)</f>
        <v>42752.08849</v>
      </c>
      <c r="C1062" s="1" t="str">
        <f>IFERROR(__xludf.DUMMYFUNCTION("""COMPUTED_VALUE"""),"control")</f>
        <v>control</v>
      </c>
      <c r="D1062" s="1" t="str">
        <f>IFERROR(__xludf.DUMMYFUNCTION("""COMPUTED_VALUE"""),"old_page")</f>
        <v>old_page</v>
      </c>
      <c r="E1062" s="1">
        <f>IFERROR(__xludf.DUMMYFUNCTION("""COMPUTED_VALUE"""),0.0)</f>
        <v>0</v>
      </c>
    </row>
    <row r="1063">
      <c r="A1063" s="1">
        <f>IFERROR(__xludf.DUMMYFUNCTION("""COMPUTED_VALUE"""),844125.0)</f>
        <v>844125</v>
      </c>
      <c r="B1063" s="2">
        <f>IFERROR(__xludf.DUMMYFUNCTION("""COMPUTED_VALUE"""),42737.9937247591)</f>
        <v>42737.99372</v>
      </c>
      <c r="C1063" s="1" t="str">
        <f>IFERROR(__xludf.DUMMYFUNCTION("""COMPUTED_VALUE"""),"treatment")</f>
        <v>treatment</v>
      </c>
      <c r="D1063" s="1" t="str">
        <f>IFERROR(__xludf.DUMMYFUNCTION("""COMPUTED_VALUE"""),"new_page")</f>
        <v>new_page</v>
      </c>
      <c r="E1063" s="1">
        <f>IFERROR(__xludf.DUMMYFUNCTION("""COMPUTED_VALUE"""),0.0)</f>
        <v>0</v>
      </c>
    </row>
    <row r="1064">
      <c r="A1064" s="1">
        <f>IFERROR(__xludf.DUMMYFUNCTION("""COMPUTED_VALUE"""),746469.0)</f>
        <v>746469</v>
      </c>
      <c r="B1064" s="2">
        <f>IFERROR(__xludf.DUMMYFUNCTION("""COMPUTED_VALUE"""),42751.423986106056)</f>
        <v>42751.42399</v>
      </c>
      <c r="C1064" s="1" t="str">
        <f>IFERROR(__xludf.DUMMYFUNCTION("""COMPUTED_VALUE"""),"control")</f>
        <v>control</v>
      </c>
      <c r="D1064" s="1" t="str">
        <f>IFERROR(__xludf.DUMMYFUNCTION("""COMPUTED_VALUE"""),"old_page")</f>
        <v>old_page</v>
      </c>
      <c r="E1064" s="1">
        <f>IFERROR(__xludf.DUMMYFUNCTION("""COMPUTED_VALUE"""),1.0)</f>
        <v>1</v>
      </c>
    </row>
    <row r="1065">
      <c r="A1065" s="1">
        <f>IFERROR(__xludf.DUMMYFUNCTION("""COMPUTED_VALUE"""),879741.0)</f>
        <v>879741</v>
      </c>
      <c r="B1065" s="2">
        <f>IFERROR(__xludf.DUMMYFUNCTION("""COMPUTED_VALUE"""),42745.029523658006)</f>
        <v>42745.02952</v>
      </c>
      <c r="C1065" s="1" t="str">
        <f>IFERROR(__xludf.DUMMYFUNCTION("""COMPUTED_VALUE"""),"treatment")</f>
        <v>treatment</v>
      </c>
      <c r="D1065" s="1" t="str">
        <f>IFERROR(__xludf.DUMMYFUNCTION("""COMPUTED_VALUE"""),"new_page")</f>
        <v>new_page</v>
      </c>
      <c r="E1065" s="1">
        <f>IFERROR(__xludf.DUMMYFUNCTION("""COMPUTED_VALUE"""),0.0)</f>
        <v>0</v>
      </c>
    </row>
    <row r="1066">
      <c r="A1066" s="1">
        <f>IFERROR(__xludf.DUMMYFUNCTION("""COMPUTED_VALUE"""),819369.0)</f>
        <v>819369</v>
      </c>
      <c r="B1066" s="2">
        <f>IFERROR(__xludf.DUMMYFUNCTION("""COMPUTED_VALUE"""),42739.53735178706)</f>
        <v>42739.53735</v>
      </c>
      <c r="C1066" s="1" t="str">
        <f>IFERROR(__xludf.DUMMYFUNCTION("""COMPUTED_VALUE"""),"treatment")</f>
        <v>treatment</v>
      </c>
      <c r="D1066" s="1" t="str">
        <f>IFERROR(__xludf.DUMMYFUNCTION("""COMPUTED_VALUE"""),"new_page")</f>
        <v>new_page</v>
      </c>
      <c r="E1066" s="1">
        <f>IFERROR(__xludf.DUMMYFUNCTION("""COMPUTED_VALUE"""),0.0)</f>
        <v>0</v>
      </c>
    </row>
    <row r="1067">
      <c r="A1067" s="1">
        <f>IFERROR(__xludf.DUMMYFUNCTION("""COMPUTED_VALUE"""),665767.0)</f>
        <v>665767</v>
      </c>
      <c r="B1067" s="2">
        <f>IFERROR(__xludf.DUMMYFUNCTION("""COMPUTED_VALUE"""),42740.37770457735)</f>
        <v>42740.3777</v>
      </c>
      <c r="C1067" s="1" t="str">
        <f>IFERROR(__xludf.DUMMYFUNCTION("""COMPUTED_VALUE"""),"control")</f>
        <v>control</v>
      </c>
      <c r="D1067" s="1" t="str">
        <f>IFERROR(__xludf.DUMMYFUNCTION("""COMPUTED_VALUE"""),"old_page")</f>
        <v>old_page</v>
      </c>
      <c r="E1067" s="1">
        <f>IFERROR(__xludf.DUMMYFUNCTION("""COMPUTED_VALUE"""),0.0)</f>
        <v>0</v>
      </c>
    </row>
    <row r="1068">
      <c r="A1068" s="1">
        <f>IFERROR(__xludf.DUMMYFUNCTION("""COMPUTED_VALUE"""),879050.0)</f>
        <v>879050</v>
      </c>
      <c r="B1068" s="2">
        <f>IFERROR(__xludf.DUMMYFUNCTION("""COMPUTED_VALUE"""),42738.31821790768)</f>
        <v>42738.31822</v>
      </c>
      <c r="C1068" s="1" t="str">
        <f>IFERROR(__xludf.DUMMYFUNCTION("""COMPUTED_VALUE"""),"treatment")</f>
        <v>treatment</v>
      </c>
      <c r="D1068" s="1" t="str">
        <f>IFERROR(__xludf.DUMMYFUNCTION("""COMPUTED_VALUE"""),"new_page")</f>
        <v>new_page</v>
      </c>
      <c r="E1068" s="1">
        <f>IFERROR(__xludf.DUMMYFUNCTION("""COMPUTED_VALUE"""),0.0)</f>
        <v>0</v>
      </c>
    </row>
    <row r="1069">
      <c r="A1069" s="1">
        <f>IFERROR(__xludf.DUMMYFUNCTION("""COMPUTED_VALUE"""),891606.0)</f>
        <v>891606</v>
      </c>
      <c r="B1069" s="2">
        <f>IFERROR(__xludf.DUMMYFUNCTION("""COMPUTED_VALUE"""),42750.83795177053)</f>
        <v>42750.83795</v>
      </c>
      <c r="C1069" s="1" t="str">
        <f>IFERROR(__xludf.DUMMYFUNCTION("""COMPUTED_VALUE"""),"control")</f>
        <v>control</v>
      </c>
      <c r="D1069" s="1" t="str">
        <f>IFERROR(__xludf.DUMMYFUNCTION("""COMPUTED_VALUE"""),"old_page")</f>
        <v>old_page</v>
      </c>
      <c r="E1069" s="1">
        <f>IFERROR(__xludf.DUMMYFUNCTION("""COMPUTED_VALUE"""),0.0)</f>
        <v>0</v>
      </c>
    </row>
    <row r="1070">
      <c r="A1070" s="1">
        <f>IFERROR(__xludf.DUMMYFUNCTION("""COMPUTED_VALUE"""),878722.0)</f>
        <v>878722</v>
      </c>
      <c r="B1070" s="2">
        <f>IFERROR(__xludf.DUMMYFUNCTION("""COMPUTED_VALUE"""),42737.842810771595)</f>
        <v>42737.84281</v>
      </c>
      <c r="C1070" s="1" t="str">
        <f>IFERROR(__xludf.DUMMYFUNCTION("""COMPUTED_VALUE"""),"treatment")</f>
        <v>treatment</v>
      </c>
      <c r="D1070" s="1" t="str">
        <f>IFERROR(__xludf.DUMMYFUNCTION("""COMPUTED_VALUE"""),"new_page")</f>
        <v>new_page</v>
      </c>
      <c r="E1070" s="1">
        <f>IFERROR(__xludf.DUMMYFUNCTION("""COMPUTED_VALUE"""),0.0)</f>
        <v>0</v>
      </c>
    </row>
    <row r="1071">
      <c r="A1071" s="1">
        <f>IFERROR(__xludf.DUMMYFUNCTION("""COMPUTED_VALUE"""),936384.0)</f>
        <v>936384</v>
      </c>
      <c r="B1071" s="2">
        <f>IFERROR(__xludf.DUMMYFUNCTION("""COMPUTED_VALUE"""),42753.522365634286)</f>
        <v>42753.52237</v>
      </c>
      <c r="C1071" s="1" t="str">
        <f>IFERROR(__xludf.DUMMYFUNCTION("""COMPUTED_VALUE"""),"treatment")</f>
        <v>treatment</v>
      </c>
      <c r="D1071" s="1" t="str">
        <f>IFERROR(__xludf.DUMMYFUNCTION("""COMPUTED_VALUE"""),"new_page")</f>
        <v>new_page</v>
      </c>
      <c r="E1071" s="1">
        <f>IFERROR(__xludf.DUMMYFUNCTION("""COMPUTED_VALUE"""),0.0)</f>
        <v>0</v>
      </c>
    </row>
    <row r="1072">
      <c r="A1072" s="1">
        <f>IFERROR(__xludf.DUMMYFUNCTION("""COMPUTED_VALUE"""),725211.0)</f>
        <v>725211</v>
      </c>
      <c r="B1072" s="2">
        <f>IFERROR(__xludf.DUMMYFUNCTION("""COMPUTED_VALUE"""),42758.314687823244)</f>
        <v>42758.31469</v>
      </c>
      <c r="C1072" s="1" t="str">
        <f>IFERROR(__xludf.DUMMYFUNCTION("""COMPUTED_VALUE"""),"control")</f>
        <v>control</v>
      </c>
      <c r="D1072" s="1" t="str">
        <f>IFERROR(__xludf.DUMMYFUNCTION("""COMPUTED_VALUE"""),"old_page")</f>
        <v>old_page</v>
      </c>
      <c r="E1072" s="1">
        <f>IFERROR(__xludf.DUMMYFUNCTION("""COMPUTED_VALUE"""),0.0)</f>
        <v>0</v>
      </c>
    </row>
    <row r="1073">
      <c r="A1073" s="1">
        <f>IFERROR(__xludf.DUMMYFUNCTION("""COMPUTED_VALUE"""),677625.0)</f>
        <v>677625</v>
      </c>
      <c r="B1073" s="2">
        <f>IFERROR(__xludf.DUMMYFUNCTION("""COMPUTED_VALUE"""),42747.407956746865)</f>
        <v>42747.40796</v>
      </c>
      <c r="C1073" s="1" t="str">
        <f>IFERROR(__xludf.DUMMYFUNCTION("""COMPUTED_VALUE"""),"control")</f>
        <v>control</v>
      </c>
      <c r="D1073" s="1" t="str">
        <f>IFERROR(__xludf.DUMMYFUNCTION("""COMPUTED_VALUE"""),"old_page")</f>
        <v>old_page</v>
      </c>
      <c r="E1073" s="1">
        <f>IFERROR(__xludf.DUMMYFUNCTION("""COMPUTED_VALUE"""),1.0)</f>
        <v>1</v>
      </c>
    </row>
    <row r="1074">
      <c r="A1074" s="1">
        <f>IFERROR(__xludf.DUMMYFUNCTION("""COMPUTED_VALUE"""),887075.0)</f>
        <v>887075</v>
      </c>
      <c r="B1074" s="2">
        <f>IFERROR(__xludf.DUMMYFUNCTION("""COMPUTED_VALUE"""),42754.528291309296)</f>
        <v>42754.52829</v>
      </c>
      <c r="C1074" s="1" t="str">
        <f>IFERROR(__xludf.DUMMYFUNCTION("""COMPUTED_VALUE"""),"control")</f>
        <v>control</v>
      </c>
      <c r="D1074" s="1" t="str">
        <f>IFERROR(__xludf.DUMMYFUNCTION("""COMPUTED_VALUE"""),"old_page")</f>
        <v>old_page</v>
      </c>
      <c r="E1074" s="1">
        <f>IFERROR(__xludf.DUMMYFUNCTION("""COMPUTED_VALUE"""),0.0)</f>
        <v>0</v>
      </c>
    </row>
    <row r="1075">
      <c r="A1075" s="1">
        <f>IFERROR(__xludf.DUMMYFUNCTION("""COMPUTED_VALUE"""),921173.0)</f>
        <v>921173</v>
      </c>
      <c r="B1075" s="2">
        <f>IFERROR(__xludf.DUMMYFUNCTION("""COMPUTED_VALUE"""),42756.5237180476)</f>
        <v>42756.52372</v>
      </c>
      <c r="C1075" s="1" t="str">
        <f>IFERROR(__xludf.DUMMYFUNCTION("""COMPUTED_VALUE"""),"treatment")</f>
        <v>treatment</v>
      </c>
      <c r="D1075" s="1" t="str">
        <f>IFERROR(__xludf.DUMMYFUNCTION("""COMPUTED_VALUE"""),"new_page")</f>
        <v>new_page</v>
      </c>
      <c r="E1075" s="1">
        <f>IFERROR(__xludf.DUMMYFUNCTION("""COMPUTED_VALUE"""),1.0)</f>
        <v>1</v>
      </c>
    </row>
    <row r="1076">
      <c r="A1076" s="1">
        <f>IFERROR(__xludf.DUMMYFUNCTION("""COMPUTED_VALUE"""),858490.0)</f>
        <v>858490</v>
      </c>
      <c r="B1076" s="2">
        <f>IFERROR(__xludf.DUMMYFUNCTION("""COMPUTED_VALUE"""),42744.4839662022)</f>
        <v>42744.48397</v>
      </c>
      <c r="C1076" s="1" t="str">
        <f>IFERROR(__xludf.DUMMYFUNCTION("""COMPUTED_VALUE"""),"control")</f>
        <v>control</v>
      </c>
      <c r="D1076" s="1" t="str">
        <f>IFERROR(__xludf.DUMMYFUNCTION("""COMPUTED_VALUE"""),"old_page")</f>
        <v>old_page</v>
      </c>
      <c r="E1076" s="1">
        <f>IFERROR(__xludf.DUMMYFUNCTION("""COMPUTED_VALUE"""),0.0)</f>
        <v>0</v>
      </c>
    </row>
    <row r="1077">
      <c r="A1077" s="1">
        <f>IFERROR(__xludf.DUMMYFUNCTION("""COMPUTED_VALUE"""),746434.0)</f>
        <v>746434</v>
      </c>
      <c r="B1077" s="2">
        <f>IFERROR(__xludf.DUMMYFUNCTION("""COMPUTED_VALUE"""),42749.84934456317)</f>
        <v>42749.84934</v>
      </c>
      <c r="C1077" s="1" t="str">
        <f>IFERROR(__xludf.DUMMYFUNCTION("""COMPUTED_VALUE"""),"control")</f>
        <v>control</v>
      </c>
      <c r="D1077" s="1" t="str">
        <f>IFERROR(__xludf.DUMMYFUNCTION("""COMPUTED_VALUE"""),"old_page")</f>
        <v>old_page</v>
      </c>
      <c r="E1077" s="1">
        <f>IFERROR(__xludf.DUMMYFUNCTION("""COMPUTED_VALUE"""),0.0)</f>
        <v>0</v>
      </c>
    </row>
    <row r="1078">
      <c r="A1078" s="1">
        <f>IFERROR(__xludf.DUMMYFUNCTION("""COMPUTED_VALUE"""),836104.0)</f>
        <v>836104</v>
      </c>
      <c r="B1078" s="2">
        <f>IFERROR(__xludf.DUMMYFUNCTION("""COMPUTED_VALUE"""),42747.522276353935)</f>
        <v>42747.52228</v>
      </c>
      <c r="C1078" s="1" t="str">
        <f>IFERROR(__xludf.DUMMYFUNCTION("""COMPUTED_VALUE"""),"control")</f>
        <v>control</v>
      </c>
      <c r="D1078" s="1" t="str">
        <f>IFERROR(__xludf.DUMMYFUNCTION("""COMPUTED_VALUE"""),"old_page")</f>
        <v>old_page</v>
      </c>
      <c r="E1078" s="1">
        <f>IFERROR(__xludf.DUMMYFUNCTION("""COMPUTED_VALUE"""),1.0)</f>
        <v>1</v>
      </c>
    </row>
    <row r="1079">
      <c r="A1079" s="1">
        <f>IFERROR(__xludf.DUMMYFUNCTION("""COMPUTED_VALUE"""),802092.0)</f>
        <v>802092</v>
      </c>
      <c r="B1079" s="2">
        <f>IFERROR(__xludf.DUMMYFUNCTION("""COMPUTED_VALUE"""),42756.50618007728)</f>
        <v>42756.50618</v>
      </c>
      <c r="C1079" s="1" t="str">
        <f>IFERROR(__xludf.DUMMYFUNCTION("""COMPUTED_VALUE"""),"treatment")</f>
        <v>treatment</v>
      </c>
      <c r="D1079" s="1" t="str">
        <f>IFERROR(__xludf.DUMMYFUNCTION("""COMPUTED_VALUE"""),"new_page")</f>
        <v>new_page</v>
      </c>
      <c r="E1079" s="1">
        <f>IFERROR(__xludf.DUMMYFUNCTION("""COMPUTED_VALUE"""),0.0)</f>
        <v>0</v>
      </c>
    </row>
    <row r="1080">
      <c r="A1080" s="1">
        <f>IFERROR(__xludf.DUMMYFUNCTION("""COMPUTED_VALUE"""),886691.0)</f>
        <v>886691</v>
      </c>
      <c r="B1080" s="2">
        <f>IFERROR(__xludf.DUMMYFUNCTION("""COMPUTED_VALUE"""),42756.13848828043)</f>
        <v>42756.13849</v>
      </c>
      <c r="C1080" s="1" t="str">
        <f>IFERROR(__xludf.DUMMYFUNCTION("""COMPUTED_VALUE"""),"treatment")</f>
        <v>treatment</v>
      </c>
      <c r="D1080" s="1" t="str">
        <f>IFERROR(__xludf.DUMMYFUNCTION("""COMPUTED_VALUE"""),"new_page")</f>
        <v>new_page</v>
      </c>
      <c r="E1080" s="1">
        <f>IFERROR(__xludf.DUMMYFUNCTION("""COMPUTED_VALUE"""),0.0)</f>
        <v>0</v>
      </c>
    </row>
    <row r="1081">
      <c r="A1081" s="1">
        <f>IFERROR(__xludf.DUMMYFUNCTION("""COMPUTED_VALUE"""),926865.0)</f>
        <v>926865</v>
      </c>
      <c r="B1081" s="2">
        <f>IFERROR(__xludf.DUMMYFUNCTION("""COMPUTED_VALUE"""),42745.80901078682)</f>
        <v>42745.80901</v>
      </c>
      <c r="C1081" s="1" t="str">
        <f>IFERROR(__xludf.DUMMYFUNCTION("""COMPUTED_VALUE"""),"control")</f>
        <v>control</v>
      </c>
      <c r="D1081" s="1" t="str">
        <f>IFERROR(__xludf.DUMMYFUNCTION("""COMPUTED_VALUE"""),"old_page")</f>
        <v>old_page</v>
      </c>
      <c r="E1081" s="1">
        <f>IFERROR(__xludf.DUMMYFUNCTION("""COMPUTED_VALUE"""),0.0)</f>
        <v>0</v>
      </c>
    </row>
    <row r="1082">
      <c r="A1082" s="1">
        <f>IFERROR(__xludf.DUMMYFUNCTION("""COMPUTED_VALUE"""),678745.0)</f>
        <v>678745</v>
      </c>
      <c r="B1082" s="2">
        <f>IFERROR(__xludf.DUMMYFUNCTION("""COMPUTED_VALUE"""),42745.50875245297)</f>
        <v>42745.50875</v>
      </c>
      <c r="C1082" s="1" t="str">
        <f>IFERROR(__xludf.DUMMYFUNCTION("""COMPUTED_VALUE"""),"control")</f>
        <v>control</v>
      </c>
      <c r="D1082" s="1" t="str">
        <f>IFERROR(__xludf.DUMMYFUNCTION("""COMPUTED_VALUE"""),"old_page")</f>
        <v>old_page</v>
      </c>
      <c r="E1082" s="1">
        <f>IFERROR(__xludf.DUMMYFUNCTION("""COMPUTED_VALUE"""),0.0)</f>
        <v>0</v>
      </c>
    </row>
    <row r="1083">
      <c r="A1083" s="1">
        <f>IFERROR(__xludf.DUMMYFUNCTION("""COMPUTED_VALUE"""),760172.0)</f>
        <v>760172</v>
      </c>
      <c r="B1083" s="2">
        <f>IFERROR(__xludf.DUMMYFUNCTION("""COMPUTED_VALUE"""),42756.687373126515)</f>
        <v>42756.68737</v>
      </c>
      <c r="C1083" s="1" t="str">
        <f>IFERROR(__xludf.DUMMYFUNCTION("""COMPUTED_VALUE"""),"treatment")</f>
        <v>treatment</v>
      </c>
      <c r="D1083" s="1" t="str">
        <f>IFERROR(__xludf.DUMMYFUNCTION("""COMPUTED_VALUE"""),"new_page")</f>
        <v>new_page</v>
      </c>
      <c r="E1083" s="1">
        <f>IFERROR(__xludf.DUMMYFUNCTION("""COMPUTED_VALUE"""),0.0)</f>
        <v>0</v>
      </c>
    </row>
    <row r="1084">
      <c r="A1084" s="1">
        <f>IFERROR(__xludf.DUMMYFUNCTION("""COMPUTED_VALUE"""),877735.0)</f>
        <v>877735</v>
      </c>
      <c r="B1084" s="2">
        <f>IFERROR(__xludf.DUMMYFUNCTION("""COMPUTED_VALUE"""),42744.17217598364)</f>
        <v>42744.17218</v>
      </c>
      <c r="C1084" s="1" t="str">
        <f>IFERROR(__xludf.DUMMYFUNCTION("""COMPUTED_VALUE"""),"treatment")</f>
        <v>treatment</v>
      </c>
      <c r="D1084" s="1" t="str">
        <f>IFERROR(__xludf.DUMMYFUNCTION("""COMPUTED_VALUE"""),"new_page")</f>
        <v>new_page</v>
      </c>
      <c r="E1084" s="1">
        <f>IFERROR(__xludf.DUMMYFUNCTION("""COMPUTED_VALUE"""),0.0)</f>
        <v>0</v>
      </c>
    </row>
    <row r="1085">
      <c r="A1085" s="1">
        <f>IFERROR(__xludf.DUMMYFUNCTION("""COMPUTED_VALUE"""),836715.0)</f>
        <v>836715</v>
      </c>
      <c r="B1085" s="2">
        <f>IFERROR(__xludf.DUMMYFUNCTION("""COMPUTED_VALUE"""),42756.252443939215)</f>
        <v>42756.25244</v>
      </c>
      <c r="C1085" s="1" t="str">
        <f>IFERROR(__xludf.DUMMYFUNCTION("""COMPUTED_VALUE"""),"control")</f>
        <v>control</v>
      </c>
      <c r="D1085" s="1" t="str">
        <f>IFERROR(__xludf.DUMMYFUNCTION("""COMPUTED_VALUE"""),"old_page")</f>
        <v>old_page</v>
      </c>
      <c r="E1085" s="1">
        <f>IFERROR(__xludf.DUMMYFUNCTION("""COMPUTED_VALUE"""),1.0)</f>
        <v>1</v>
      </c>
    </row>
    <row r="1086">
      <c r="A1086" s="1">
        <f>IFERROR(__xludf.DUMMYFUNCTION("""COMPUTED_VALUE"""),644712.0)</f>
        <v>644712</v>
      </c>
      <c r="B1086" s="2">
        <f>IFERROR(__xludf.DUMMYFUNCTION("""COMPUTED_VALUE"""),42748.836829248365)</f>
        <v>42748.83683</v>
      </c>
      <c r="C1086" s="1" t="str">
        <f>IFERROR(__xludf.DUMMYFUNCTION("""COMPUTED_VALUE"""),"treatment")</f>
        <v>treatment</v>
      </c>
      <c r="D1086" s="1" t="str">
        <f>IFERROR(__xludf.DUMMYFUNCTION("""COMPUTED_VALUE"""),"new_page")</f>
        <v>new_page</v>
      </c>
      <c r="E1086" s="1">
        <f>IFERROR(__xludf.DUMMYFUNCTION("""COMPUTED_VALUE"""),0.0)</f>
        <v>0</v>
      </c>
    </row>
    <row r="1087">
      <c r="A1087" s="1">
        <f>IFERROR(__xludf.DUMMYFUNCTION("""COMPUTED_VALUE"""),717867.0)</f>
        <v>717867</v>
      </c>
      <c r="B1087" s="2">
        <f>IFERROR(__xludf.DUMMYFUNCTION("""COMPUTED_VALUE"""),42741.82597837638)</f>
        <v>42741.82598</v>
      </c>
      <c r="C1087" s="1" t="str">
        <f>IFERROR(__xludf.DUMMYFUNCTION("""COMPUTED_VALUE"""),"control")</f>
        <v>control</v>
      </c>
      <c r="D1087" s="1" t="str">
        <f>IFERROR(__xludf.DUMMYFUNCTION("""COMPUTED_VALUE"""),"old_page")</f>
        <v>old_page</v>
      </c>
      <c r="E1087" s="1">
        <f>IFERROR(__xludf.DUMMYFUNCTION("""COMPUTED_VALUE"""),0.0)</f>
        <v>0</v>
      </c>
    </row>
    <row r="1088">
      <c r="A1088" s="1">
        <f>IFERROR(__xludf.DUMMYFUNCTION("""COMPUTED_VALUE"""),927280.0)</f>
        <v>927280</v>
      </c>
      <c r="B1088" s="2">
        <f>IFERROR(__xludf.DUMMYFUNCTION("""COMPUTED_VALUE"""),42743.776688278565)</f>
        <v>42743.77669</v>
      </c>
      <c r="C1088" s="1" t="str">
        <f>IFERROR(__xludf.DUMMYFUNCTION("""COMPUTED_VALUE"""),"control")</f>
        <v>control</v>
      </c>
      <c r="D1088" s="1" t="str">
        <f>IFERROR(__xludf.DUMMYFUNCTION("""COMPUTED_VALUE"""),"old_page")</f>
        <v>old_page</v>
      </c>
      <c r="E1088" s="1">
        <f>IFERROR(__xludf.DUMMYFUNCTION("""COMPUTED_VALUE"""),0.0)</f>
        <v>0</v>
      </c>
    </row>
    <row r="1089">
      <c r="A1089" s="1">
        <f>IFERROR(__xludf.DUMMYFUNCTION("""COMPUTED_VALUE"""),737109.0)</f>
        <v>737109</v>
      </c>
      <c r="B1089" s="2">
        <f>IFERROR(__xludf.DUMMYFUNCTION("""COMPUTED_VALUE"""),42744.46454120897)</f>
        <v>42744.46454</v>
      </c>
      <c r="C1089" s="1" t="str">
        <f>IFERROR(__xludf.DUMMYFUNCTION("""COMPUTED_VALUE"""),"control")</f>
        <v>control</v>
      </c>
      <c r="D1089" s="1" t="str">
        <f>IFERROR(__xludf.DUMMYFUNCTION("""COMPUTED_VALUE"""),"old_page")</f>
        <v>old_page</v>
      </c>
      <c r="E1089" s="1">
        <f>IFERROR(__xludf.DUMMYFUNCTION("""COMPUTED_VALUE"""),0.0)</f>
        <v>0</v>
      </c>
    </row>
    <row r="1090">
      <c r="A1090" s="1">
        <f>IFERROR(__xludf.DUMMYFUNCTION("""COMPUTED_VALUE"""),943295.0)</f>
        <v>943295</v>
      </c>
      <c r="B1090" s="2">
        <f>IFERROR(__xludf.DUMMYFUNCTION("""COMPUTED_VALUE"""),42738.697913134674)</f>
        <v>42738.69791</v>
      </c>
      <c r="C1090" s="1" t="str">
        <f>IFERROR(__xludf.DUMMYFUNCTION("""COMPUTED_VALUE"""),"control")</f>
        <v>control</v>
      </c>
      <c r="D1090" s="1" t="str">
        <f>IFERROR(__xludf.DUMMYFUNCTION("""COMPUTED_VALUE"""),"old_page")</f>
        <v>old_page</v>
      </c>
      <c r="E1090" s="1">
        <f>IFERROR(__xludf.DUMMYFUNCTION("""COMPUTED_VALUE"""),0.0)</f>
        <v>0</v>
      </c>
    </row>
    <row r="1091">
      <c r="A1091" s="1">
        <f>IFERROR(__xludf.DUMMYFUNCTION("""COMPUTED_VALUE"""),763894.0)</f>
        <v>763894</v>
      </c>
      <c r="B1091" s="2">
        <f>IFERROR(__xludf.DUMMYFUNCTION("""COMPUTED_VALUE"""),42750.25269395725)</f>
        <v>42750.25269</v>
      </c>
      <c r="C1091" s="1" t="str">
        <f>IFERROR(__xludf.DUMMYFUNCTION("""COMPUTED_VALUE"""),"treatment")</f>
        <v>treatment</v>
      </c>
      <c r="D1091" s="1" t="str">
        <f>IFERROR(__xludf.DUMMYFUNCTION("""COMPUTED_VALUE"""),"new_page")</f>
        <v>new_page</v>
      </c>
      <c r="E1091" s="1">
        <f>IFERROR(__xludf.DUMMYFUNCTION("""COMPUTED_VALUE"""),1.0)</f>
        <v>1</v>
      </c>
    </row>
    <row r="1092">
      <c r="A1092" s="1">
        <f>IFERROR(__xludf.DUMMYFUNCTION("""COMPUTED_VALUE"""),775551.0)</f>
        <v>775551</v>
      </c>
      <c r="B1092" s="2">
        <f>IFERROR(__xludf.DUMMYFUNCTION("""COMPUTED_VALUE"""),42742.90730703347)</f>
        <v>42742.90731</v>
      </c>
      <c r="C1092" s="1" t="str">
        <f>IFERROR(__xludf.DUMMYFUNCTION("""COMPUTED_VALUE"""),"control")</f>
        <v>control</v>
      </c>
      <c r="D1092" s="1" t="str">
        <f>IFERROR(__xludf.DUMMYFUNCTION("""COMPUTED_VALUE"""),"old_page")</f>
        <v>old_page</v>
      </c>
      <c r="E1092" s="1">
        <f>IFERROR(__xludf.DUMMYFUNCTION("""COMPUTED_VALUE"""),0.0)</f>
        <v>0</v>
      </c>
    </row>
    <row r="1093">
      <c r="A1093" s="1">
        <f>IFERROR(__xludf.DUMMYFUNCTION("""COMPUTED_VALUE"""),940502.0)</f>
        <v>940502</v>
      </c>
      <c r="B1093" s="2">
        <f>IFERROR(__xludf.DUMMYFUNCTION("""COMPUTED_VALUE"""),42755.70905451929)</f>
        <v>42755.70905</v>
      </c>
      <c r="C1093" s="1" t="str">
        <f>IFERROR(__xludf.DUMMYFUNCTION("""COMPUTED_VALUE"""),"treatment")</f>
        <v>treatment</v>
      </c>
      <c r="D1093" s="1" t="str">
        <f>IFERROR(__xludf.DUMMYFUNCTION("""COMPUTED_VALUE"""),"new_page")</f>
        <v>new_page</v>
      </c>
      <c r="E1093" s="1">
        <f>IFERROR(__xludf.DUMMYFUNCTION("""COMPUTED_VALUE"""),0.0)</f>
        <v>0</v>
      </c>
    </row>
    <row r="1094">
      <c r="A1094" s="1">
        <f>IFERROR(__xludf.DUMMYFUNCTION("""COMPUTED_VALUE"""),724695.0)</f>
        <v>724695</v>
      </c>
      <c r="B1094" s="2">
        <f>IFERROR(__xludf.DUMMYFUNCTION("""COMPUTED_VALUE"""),42744.600927060565)</f>
        <v>42744.60093</v>
      </c>
      <c r="C1094" s="1" t="str">
        <f>IFERROR(__xludf.DUMMYFUNCTION("""COMPUTED_VALUE"""),"treatment")</f>
        <v>treatment</v>
      </c>
      <c r="D1094" s="1" t="str">
        <f>IFERROR(__xludf.DUMMYFUNCTION("""COMPUTED_VALUE"""),"new_page")</f>
        <v>new_page</v>
      </c>
      <c r="E1094" s="1">
        <f>IFERROR(__xludf.DUMMYFUNCTION("""COMPUTED_VALUE"""),1.0)</f>
        <v>1</v>
      </c>
    </row>
    <row r="1095">
      <c r="A1095" s="1">
        <f>IFERROR(__xludf.DUMMYFUNCTION("""COMPUTED_VALUE"""),743997.0)</f>
        <v>743997</v>
      </c>
      <c r="B1095" s="2">
        <f>IFERROR(__xludf.DUMMYFUNCTION("""COMPUTED_VALUE"""),42747.34353570264)</f>
        <v>42747.34354</v>
      </c>
      <c r="C1095" s="1" t="str">
        <f>IFERROR(__xludf.DUMMYFUNCTION("""COMPUTED_VALUE"""),"control")</f>
        <v>control</v>
      </c>
      <c r="D1095" s="1" t="str">
        <f>IFERROR(__xludf.DUMMYFUNCTION("""COMPUTED_VALUE"""),"old_page")</f>
        <v>old_page</v>
      </c>
      <c r="E1095" s="1">
        <f>IFERROR(__xludf.DUMMYFUNCTION("""COMPUTED_VALUE"""),0.0)</f>
        <v>0</v>
      </c>
    </row>
    <row r="1096">
      <c r="A1096" s="1">
        <f>IFERROR(__xludf.DUMMYFUNCTION("""COMPUTED_VALUE"""),650765.0)</f>
        <v>650765</v>
      </c>
      <c r="B1096" s="2">
        <f>IFERROR(__xludf.DUMMYFUNCTION("""COMPUTED_VALUE"""),42740.17107247292)</f>
        <v>42740.17107</v>
      </c>
      <c r="C1096" s="1" t="str">
        <f>IFERROR(__xludf.DUMMYFUNCTION("""COMPUTED_VALUE"""),"treatment")</f>
        <v>treatment</v>
      </c>
      <c r="D1096" s="1" t="str">
        <f>IFERROR(__xludf.DUMMYFUNCTION("""COMPUTED_VALUE"""),"new_page")</f>
        <v>new_page</v>
      </c>
      <c r="E1096" s="1">
        <f>IFERROR(__xludf.DUMMYFUNCTION("""COMPUTED_VALUE"""),0.0)</f>
        <v>0</v>
      </c>
    </row>
    <row r="1097">
      <c r="A1097" s="1">
        <f>IFERROR(__xludf.DUMMYFUNCTION("""COMPUTED_VALUE"""),709673.0)</f>
        <v>709673</v>
      </c>
      <c r="B1097" s="2">
        <f>IFERROR(__xludf.DUMMYFUNCTION("""COMPUTED_VALUE"""),42757.76284871345)</f>
        <v>42757.76285</v>
      </c>
      <c r="C1097" s="1" t="str">
        <f>IFERROR(__xludf.DUMMYFUNCTION("""COMPUTED_VALUE"""),"treatment")</f>
        <v>treatment</v>
      </c>
      <c r="D1097" s="1" t="str">
        <f>IFERROR(__xludf.DUMMYFUNCTION("""COMPUTED_VALUE"""),"new_page")</f>
        <v>new_page</v>
      </c>
      <c r="E1097" s="1">
        <f>IFERROR(__xludf.DUMMYFUNCTION("""COMPUTED_VALUE"""),0.0)</f>
        <v>0</v>
      </c>
    </row>
    <row r="1098">
      <c r="A1098" s="1">
        <f>IFERROR(__xludf.DUMMYFUNCTION("""COMPUTED_VALUE"""),840070.0)</f>
        <v>840070</v>
      </c>
      <c r="B1098" s="2">
        <f>IFERROR(__xludf.DUMMYFUNCTION("""COMPUTED_VALUE"""),42748.60243331958)</f>
        <v>42748.60243</v>
      </c>
      <c r="C1098" s="1" t="str">
        <f>IFERROR(__xludf.DUMMYFUNCTION("""COMPUTED_VALUE"""),"control")</f>
        <v>control</v>
      </c>
      <c r="D1098" s="1" t="str">
        <f>IFERROR(__xludf.DUMMYFUNCTION("""COMPUTED_VALUE"""),"old_page")</f>
        <v>old_page</v>
      </c>
      <c r="E1098" s="1">
        <f>IFERROR(__xludf.DUMMYFUNCTION("""COMPUTED_VALUE"""),0.0)</f>
        <v>0</v>
      </c>
    </row>
    <row r="1099">
      <c r="A1099" s="1">
        <f>IFERROR(__xludf.DUMMYFUNCTION("""COMPUTED_VALUE"""),783460.0)</f>
        <v>783460</v>
      </c>
      <c r="B1099" s="2">
        <f>IFERROR(__xludf.DUMMYFUNCTION("""COMPUTED_VALUE"""),42748.74026317191)</f>
        <v>42748.74026</v>
      </c>
      <c r="C1099" s="1" t="str">
        <f>IFERROR(__xludf.DUMMYFUNCTION("""COMPUTED_VALUE"""),"treatment")</f>
        <v>treatment</v>
      </c>
      <c r="D1099" s="1" t="str">
        <f>IFERROR(__xludf.DUMMYFUNCTION("""COMPUTED_VALUE"""),"new_page")</f>
        <v>new_page</v>
      </c>
      <c r="E1099" s="1">
        <f>IFERROR(__xludf.DUMMYFUNCTION("""COMPUTED_VALUE"""),0.0)</f>
        <v>0</v>
      </c>
    </row>
    <row r="1100">
      <c r="A1100" s="1">
        <f>IFERROR(__xludf.DUMMYFUNCTION("""COMPUTED_VALUE"""),795313.0)</f>
        <v>795313</v>
      </c>
      <c r="B1100" s="2">
        <f>IFERROR(__xludf.DUMMYFUNCTION("""COMPUTED_VALUE"""),42748.98377723528)</f>
        <v>42748.98378</v>
      </c>
      <c r="C1100" s="1" t="str">
        <f>IFERROR(__xludf.DUMMYFUNCTION("""COMPUTED_VALUE"""),"treatment")</f>
        <v>treatment</v>
      </c>
      <c r="D1100" s="1" t="str">
        <f>IFERROR(__xludf.DUMMYFUNCTION("""COMPUTED_VALUE"""),"new_page")</f>
        <v>new_page</v>
      </c>
      <c r="E1100" s="1">
        <f>IFERROR(__xludf.DUMMYFUNCTION("""COMPUTED_VALUE"""),0.0)</f>
        <v>0</v>
      </c>
    </row>
    <row r="1101">
      <c r="A1101" s="1">
        <f>IFERROR(__xludf.DUMMYFUNCTION("""COMPUTED_VALUE"""),632377.0)</f>
        <v>632377</v>
      </c>
      <c r="B1101" s="2">
        <f>IFERROR(__xludf.DUMMYFUNCTION("""COMPUTED_VALUE"""),42742.41934849708)</f>
        <v>42742.41935</v>
      </c>
      <c r="C1101" s="1" t="str">
        <f>IFERROR(__xludf.DUMMYFUNCTION("""COMPUTED_VALUE"""),"control")</f>
        <v>control</v>
      </c>
      <c r="D1101" s="1" t="str">
        <f>IFERROR(__xludf.DUMMYFUNCTION("""COMPUTED_VALUE"""),"old_page")</f>
        <v>old_page</v>
      </c>
      <c r="E1101" s="1">
        <f>IFERROR(__xludf.DUMMYFUNCTION("""COMPUTED_VALUE"""),0.0)</f>
        <v>0</v>
      </c>
    </row>
    <row r="1102">
      <c r="A1102" s="1">
        <f>IFERROR(__xludf.DUMMYFUNCTION("""COMPUTED_VALUE"""),940039.0)</f>
        <v>940039</v>
      </c>
      <c r="B1102" s="2">
        <f>IFERROR(__xludf.DUMMYFUNCTION("""COMPUTED_VALUE"""),42758.31627822626)</f>
        <v>42758.31628</v>
      </c>
      <c r="C1102" s="1" t="str">
        <f>IFERROR(__xludf.DUMMYFUNCTION("""COMPUTED_VALUE"""),"treatment")</f>
        <v>treatment</v>
      </c>
      <c r="D1102" s="1" t="str">
        <f>IFERROR(__xludf.DUMMYFUNCTION("""COMPUTED_VALUE"""),"new_page")</f>
        <v>new_page</v>
      </c>
      <c r="E1102" s="1">
        <f>IFERROR(__xludf.DUMMYFUNCTION("""COMPUTED_VALUE"""),0.0)</f>
        <v>0</v>
      </c>
    </row>
    <row r="1103">
      <c r="A1103" s="1">
        <f>IFERROR(__xludf.DUMMYFUNCTION("""COMPUTED_VALUE"""),733096.0)</f>
        <v>733096</v>
      </c>
      <c r="B1103" s="2">
        <f>IFERROR(__xludf.DUMMYFUNCTION("""COMPUTED_VALUE"""),42753.49669948441)</f>
        <v>42753.4967</v>
      </c>
      <c r="C1103" s="1" t="str">
        <f>IFERROR(__xludf.DUMMYFUNCTION("""COMPUTED_VALUE"""),"control")</f>
        <v>control</v>
      </c>
      <c r="D1103" s="1" t="str">
        <f>IFERROR(__xludf.DUMMYFUNCTION("""COMPUTED_VALUE"""),"old_page")</f>
        <v>old_page</v>
      </c>
      <c r="E1103" s="1">
        <f>IFERROR(__xludf.DUMMYFUNCTION("""COMPUTED_VALUE"""),1.0)</f>
        <v>1</v>
      </c>
    </row>
    <row r="1104">
      <c r="A1104" s="1">
        <f>IFERROR(__xludf.DUMMYFUNCTION("""COMPUTED_VALUE"""),657648.0)</f>
        <v>657648</v>
      </c>
      <c r="B1104" s="2">
        <f>IFERROR(__xludf.DUMMYFUNCTION("""COMPUTED_VALUE"""),42746.74576447068)</f>
        <v>42746.74576</v>
      </c>
      <c r="C1104" s="1" t="str">
        <f>IFERROR(__xludf.DUMMYFUNCTION("""COMPUTED_VALUE"""),"treatment")</f>
        <v>treatment</v>
      </c>
      <c r="D1104" s="1" t="str">
        <f>IFERROR(__xludf.DUMMYFUNCTION("""COMPUTED_VALUE"""),"new_page")</f>
        <v>new_page</v>
      </c>
      <c r="E1104" s="1">
        <f>IFERROR(__xludf.DUMMYFUNCTION("""COMPUTED_VALUE"""),0.0)</f>
        <v>0</v>
      </c>
    </row>
    <row r="1105">
      <c r="A1105" s="1">
        <f>IFERROR(__xludf.DUMMYFUNCTION("""COMPUTED_VALUE"""),924775.0)</f>
        <v>924775</v>
      </c>
      <c r="B1105" s="2">
        <f>IFERROR(__xludf.DUMMYFUNCTION("""COMPUTED_VALUE"""),42752.135855656146)</f>
        <v>42752.13586</v>
      </c>
      <c r="C1105" s="1" t="str">
        <f>IFERROR(__xludf.DUMMYFUNCTION("""COMPUTED_VALUE"""),"treatment")</f>
        <v>treatment</v>
      </c>
      <c r="D1105" s="1" t="str">
        <f>IFERROR(__xludf.DUMMYFUNCTION("""COMPUTED_VALUE"""),"new_page")</f>
        <v>new_page</v>
      </c>
      <c r="E1105" s="1">
        <f>IFERROR(__xludf.DUMMYFUNCTION("""COMPUTED_VALUE"""),0.0)</f>
        <v>0</v>
      </c>
    </row>
    <row r="1106">
      <c r="A1106" s="1">
        <f>IFERROR(__xludf.DUMMYFUNCTION("""COMPUTED_VALUE"""),752135.0)</f>
        <v>752135</v>
      </c>
      <c r="B1106" s="2">
        <f>IFERROR(__xludf.DUMMYFUNCTION("""COMPUTED_VALUE"""),42747.887829435764)</f>
        <v>42747.88783</v>
      </c>
      <c r="C1106" s="1" t="str">
        <f>IFERROR(__xludf.DUMMYFUNCTION("""COMPUTED_VALUE"""),"control")</f>
        <v>control</v>
      </c>
      <c r="D1106" s="1" t="str">
        <f>IFERROR(__xludf.DUMMYFUNCTION("""COMPUTED_VALUE"""),"old_page")</f>
        <v>old_page</v>
      </c>
      <c r="E1106" s="1">
        <f>IFERROR(__xludf.DUMMYFUNCTION("""COMPUTED_VALUE"""),0.0)</f>
        <v>0</v>
      </c>
    </row>
    <row r="1107">
      <c r="A1107" s="1">
        <f>IFERROR(__xludf.DUMMYFUNCTION("""COMPUTED_VALUE"""),919405.0)</f>
        <v>919405</v>
      </c>
      <c r="B1107" s="2">
        <f>IFERROR(__xludf.DUMMYFUNCTION("""COMPUTED_VALUE"""),42739.26119475299)</f>
        <v>42739.26119</v>
      </c>
      <c r="C1107" s="1" t="str">
        <f>IFERROR(__xludf.DUMMYFUNCTION("""COMPUTED_VALUE"""),"control")</f>
        <v>control</v>
      </c>
      <c r="D1107" s="1" t="str">
        <f>IFERROR(__xludf.DUMMYFUNCTION("""COMPUTED_VALUE"""),"old_page")</f>
        <v>old_page</v>
      </c>
      <c r="E1107" s="1">
        <f>IFERROR(__xludf.DUMMYFUNCTION("""COMPUTED_VALUE"""),0.0)</f>
        <v>0</v>
      </c>
    </row>
    <row r="1108">
      <c r="A1108" s="1">
        <f>IFERROR(__xludf.DUMMYFUNCTION("""COMPUTED_VALUE"""),817911.0)</f>
        <v>817911</v>
      </c>
      <c r="B1108" s="2">
        <f>IFERROR(__xludf.DUMMYFUNCTION("""COMPUTED_VALUE"""),42752.9109169)</f>
        <v>42752.91092</v>
      </c>
      <c r="C1108" s="1" t="str">
        <f>IFERROR(__xludf.DUMMYFUNCTION("""COMPUTED_VALUE"""),"treatment")</f>
        <v>treatment</v>
      </c>
      <c r="D1108" s="1" t="str">
        <f>IFERROR(__xludf.DUMMYFUNCTION("""COMPUTED_VALUE"""),"old_page")</f>
        <v>old_page</v>
      </c>
      <c r="E1108" s="1">
        <f>IFERROR(__xludf.DUMMYFUNCTION("""COMPUTED_VALUE"""),0.0)</f>
        <v>0</v>
      </c>
    </row>
    <row r="1109">
      <c r="A1109" s="1">
        <f>IFERROR(__xludf.DUMMYFUNCTION("""COMPUTED_VALUE"""),631477.0)</f>
        <v>631477</v>
      </c>
      <c r="B1109" s="2">
        <f>IFERROR(__xludf.DUMMYFUNCTION("""COMPUTED_VALUE"""),42747.07616504439)</f>
        <v>42747.07617</v>
      </c>
      <c r="C1109" s="1" t="str">
        <f>IFERROR(__xludf.DUMMYFUNCTION("""COMPUTED_VALUE"""),"control")</f>
        <v>control</v>
      </c>
      <c r="D1109" s="1" t="str">
        <f>IFERROR(__xludf.DUMMYFUNCTION("""COMPUTED_VALUE"""),"old_page")</f>
        <v>old_page</v>
      </c>
      <c r="E1109" s="1">
        <f>IFERROR(__xludf.DUMMYFUNCTION("""COMPUTED_VALUE"""),1.0)</f>
        <v>1</v>
      </c>
    </row>
    <row r="1110">
      <c r="A1110" s="1">
        <f>IFERROR(__xludf.DUMMYFUNCTION("""COMPUTED_VALUE"""),804793.0)</f>
        <v>804793</v>
      </c>
      <c r="B1110" s="2">
        <f>IFERROR(__xludf.DUMMYFUNCTION("""COMPUTED_VALUE"""),42744.299656711075)</f>
        <v>42744.29966</v>
      </c>
      <c r="C1110" s="1" t="str">
        <f>IFERROR(__xludf.DUMMYFUNCTION("""COMPUTED_VALUE"""),"control")</f>
        <v>control</v>
      </c>
      <c r="D1110" s="1" t="str">
        <f>IFERROR(__xludf.DUMMYFUNCTION("""COMPUTED_VALUE"""),"old_page")</f>
        <v>old_page</v>
      </c>
      <c r="E1110" s="1">
        <f>IFERROR(__xludf.DUMMYFUNCTION("""COMPUTED_VALUE"""),1.0)</f>
        <v>1</v>
      </c>
    </row>
    <row r="1111">
      <c r="A1111" s="1">
        <f>IFERROR(__xludf.DUMMYFUNCTION("""COMPUTED_VALUE"""),821148.0)</f>
        <v>821148</v>
      </c>
      <c r="B1111" s="2">
        <f>IFERROR(__xludf.DUMMYFUNCTION("""COMPUTED_VALUE"""),42758.633257733876)</f>
        <v>42758.63326</v>
      </c>
      <c r="C1111" s="1" t="str">
        <f>IFERROR(__xludf.DUMMYFUNCTION("""COMPUTED_VALUE"""),"control")</f>
        <v>control</v>
      </c>
      <c r="D1111" s="1" t="str">
        <f>IFERROR(__xludf.DUMMYFUNCTION("""COMPUTED_VALUE"""),"old_page")</f>
        <v>old_page</v>
      </c>
      <c r="E1111" s="1">
        <f>IFERROR(__xludf.DUMMYFUNCTION("""COMPUTED_VALUE"""),0.0)</f>
        <v>0</v>
      </c>
    </row>
    <row r="1112">
      <c r="A1112" s="1">
        <f>IFERROR(__xludf.DUMMYFUNCTION("""COMPUTED_VALUE"""),724867.0)</f>
        <v>724867</v>
      </c>
      <c r="B1112" s="2">
        <f>IFERROR(__xludf.DUMMYFUNCTION("""COMPUTED_VALUE"""),42743.83851891742)</f>
        <v>42743.83852</v>
      </c>
      <c r="C1112" s="1" t="str">
        <f>IFERROR(__xludf.DUMMYFUNCTION("""COMPUTED_VALUE"""),"treatment")</f>
        <v>treatment</v>
      </c>
      <c r="D1112" s="1" t="str">
        <f>IFERROR(__xludf.DUMMYFUNCTION("""COMPUTED_VALUE"""),"new_page")</f>
        <v>new_page</v>
      </c>
      <c r="E1112" s="1">
        <f>IFERROR(__xludf.DUMMYFUNCTION("""COMPUTED_VALUE"""),0.0)</f>
        <v>0</v>
      </c>
    </row>
    <row r="1113">
      <c r="A1113" s="1">
        <f>IFERROR(__xludf.DUMMYFUNCTION("""COMPUTED_VALUE"""),872896.0)</f>
        <v>872896</v>
      </c>
      <c r="B1113" s="2">
        <f>IFERROR(__xludf.DUMMYFUNCTION("""COMPUTED_VALUE"""),42739.11876295597)</f>
        <v>42739.11876</v>
      </c>
      <c r="C1113" s="1" t="str">
        <f>IFERROR(__xludf.DUMMYFUNCTION("""COMPUTED_VALUE"""),"control")</f>
        <v>control</v>
      </c>
      <c r="D1113" s="1" t="str">
        <f>IFERROR(__xludf.DUMMYFUNCTION("""COMPUTED_VALUE"""),"old_page")</f>
        <v>old_page</v>
      </c>
      <c r="E1113" s="1">
        <f>IFERROR(__xludf.DUMMYFUNCTION("""COMPUTED_VALUE"""),0.0)</f>
        <v>0</v>
      </c>
    </row>
    <row r="1114">
      <c r="A1114" s="1">
        <f>IFERROR(__xludf.DUMMYFUNCTION("""COMPUTED_VALUE"""),669089.0)</f>
        <v>669089</v>
      </c>
      <c r="B1114" s="2">
        <f>IFERROR(__xludf.DUMMYFUNCTION("""COMPUTED_VALUE"""),42752.565590100756)</f>
        <v>42752.56559</v>
      </c>
      <c r="C1114" s="1" t="str">
        <f>IFERROR(__xludf.DUMMYFUNCTION("""COMPUTED_VALUE"""),"control")</f>
        <v>control</v>
      </c>
      <c r="D1114" s="1" t="str">
        <f>IFERROR(__xludf.DUMMYFUNCTION("""COMPUTED_VALUE"""),"old_page")</f>
        <v>old_page</v>
      </c>
      <c r="E1114" s="1">
        <f>IFERROR(__xludf.DUMMYFUNCTION("""COMPUTED_VALUE"""),0.0)</f>
        <v>0</v>
      </c>
    </row>
    <row r="1115">
      <c r="A1115" s="1">
        <f>IFERROR(__xludf.DUMMYFUNCTION("""COMPUTED_VALUE"""),870845.0)</f>
        <v>870845</v>
      </c>
      <c r="B1115" s="2">
        <f>IFERROR(__xludf.DUMMYFUNCTION("""COMPUTED_VALUE"""),42759.554513253344)</f>
        <v>42759.55451</v>
      </c>
      <c r="C1115" s="1" t="str">
        <f>IFERROR(__xludf.DUMMYFUNCTION("""COMPUTED_VALUE"""),"treatment")</f>
        <v>treatment</v>
      </c>
      <c r="D1115" s="1" t="str">
        <f>IFERROR(__xludf.DUMMYFUNCTION("""COMPUTED_VALUE"""),"new_page")</f>
        <v>new_page</v>
      </c>
      <c r="E1115" s="1">
        <f>IFERROR(__xludf.DUMMYFUNCTION("""COMPUTED_VALUE"""),0.0)</f>
        <v>0</v>
      </c>
    </row>
    <row r="1116">
      <c r="A1116" s="1">
        <f>IFERROR(__xludf.DUMMYFUNCTION("""COMPUTED_VALUE"""),794959.0)</f>
        <v>794959</v>
      </c>
      <c r="B1116" s="2">
        <f>IFERROR(__xludf.DUMMYFUNCTION("""COMPUTED_VALUE"""),42745.11166909163)</f>
        <v>42745.11167</v>
      </c>
      <c r="C1116" s="1" t="str">
        <f>IFERROR(__xludf.DUMMYFUNCTION("""COMPUTED_VALUE"""),"treatment")</f>
        <v>treatment</v>
      </c>
      <c r="D1116" s="1" t="str">
        <f>IFERROR(__xludf.DUMMYFUNCTION("""COMPUTED_VALUE"""),"new_page")</f>
        <v>new_page</v>
      </c>
      <c r="E1116" s="1">
        <f>IFERROR(__xludf.DUMMYFUNCTION("""COMPUTED_VALUE"""),0.0)</f>
        <v>0</v>
      </c>
    </row>
    <row r="1117">
      <c r="A1117" s="1">
        <f>IFERROR(__xludf.DUMMYFUNCTION("""COMPUTED_VALUE"""),864015.0)</f>
        <v>864015</v>
      </c>
      <c r="B1117" s="2">
        <f>IFERROR(__xludf.DUMMYFUNCTION("""COMPUTED_VALUE"""),42757.97070479792)</f>
        <v>42757.9707</v>
      </c>
      <c r="C1117" s="1" t="str">
        <f>IFERROR(__xludf.DUMMYFUNCTION("""COMPUTED_VALUE"""),"treatment")</f>
        <v>treatment</v>
      </c>
      <c r="D1117" s="1" t="str">
        <f>IFERROR(__xludf.DUMMYFUNCTION("""COMPUTED_VALUE"""),"new_page")</f>
        <v>new_page</v>
      </c>
      <c r="E1117" s="1">
        <f>IFERROR(__xludf.DUMMYFUNCTION("""COMPUTED_VALUE"""),0.0)</f>
        <v>0</v>
      </c>
    </row>
    <row r="1118">
      <c r="A1118" s="1">
        <f>IFERROR(__xludf.DUMMYFUNCTION("""COMPUTED_VALUE"""),694437.0)</f>
        <v>694437</v>
      </c>
      <c r="B1118" s="2">
        <f>IFERROR(__xludf.DUMMYFUNCTION("""COMPUTED_VALUE"""),42738.25389589593)</f>
        <v>42738.2539</v>
      </c>
      <c r="C1118" s="1" t="str">
        <f>IFERROR(__xludf.DUMMYFUNCTION("""COMPUTED_VALUE"""),"control")</f>
        <v>control</v>
      </c>
      <c r="D1118" s="1" t="str">
        <f>IFERROR(__xludf.DUMMYFUNCTION("""COMPUTED_VALUE"""),"old_page")</f>
        <v>old_page</v>
      </c>
      <c r="E1118" s="1">
        <f>IFERROR(__xludf.DUMMYFUNCTION("""COMPUTED_VALUE"""),0.0)</f>
        <v>0</v>
      </c>
    </row>
    <row r="1119">
      <c r="A1119" s="1">
        <f>IFERROR(__xludf.DUMMYFUNCTION("""COMPUTED_VALUE"""),715135.0)</f>
        <v>715135</v>
      </c>
      <c r="B1119" s="2">
        <f>IFERROR(__xludf.DUMMYFUNCTION("""COMPUTED_VALUE"""),42750.985848910466)</f>
        <v>42750.98585</v>
      </c>
      <c r="C1119" s="1" t="str">
        <f>IFERROR(__xludf.DUMMYFUNCTION("""COMPUTED_VALUE"""),"control")</f>
        <v>control</v>
      </c>
      <c r="D1119" s="1" t="str">
        <f>IFERROR(__xludf.DUMMYFUNCTION("""COMPUTED_VALUE"""),"old_page")</f>
        <v>old_page</v>
      </c>
      <c r="E1119" s="1">
        <f>IFERROR(__xludf.DUMMYFUNCTION("""COMPUTED_VALUE"""),0.0)</f>
        <v>0</v>
      </c>
    </row>
    <row r="1120">
      <c r="A1120" s="1">
        <f>IFERROR(__xludf.DUMMYFUNCTION("""COMPUTED_VALUE"""),667200.0)</f>
        <v>667200</v>
      </c>
      <c r="B1120" s="2">
        <f>IFERROR(__xludf.DUMMYFUNCTION("""COMPUTED_VALUE"""),42753.841092747774)</f>
        <v>42753.84109</v>
      </c>
      <c r="C1120" s="1" t="str">
        <f>IFERROR(__xludf.DUMMYFUNCTION("""COMPUTED_VALUE"""),"treatment")</f>
        <v>treatment</v>
      </c>
      <c r="D1120" s="1" t="str">
        <f>IFERROR(__xludf.DUMMYFUNCTION("""COMPUTED_VALUE"""),"new_page")</f>
        <v>new_page</v>
      </c>
      <c r="E1120" s="1">
        <f>IFERROR(__xludf.DUMMYFUNCTION("""COMPUTED_VALUE"""),1.0)</f>
        <v>1</v>
      </c>
    </row>
    <row r="1121">
      <c r="A1121" s="1">
        <f>IFERROR(__xludf.DUMMYFUNCTION("""COMPUTED_VALUE"""),874377.0)</f>
        <v>874377</v>
      </c>
      <c r="B1121" s="2">
        <f>IFERROR(__xludf.DUMMYFUNCTION("""COMPUTED_VALUE"""),42750.36514068211)</f>
        <v>42750.36514</v>
      </c>
      <c r="C1121" s="1" t="str">
        <f>IFERROR(__xludf.DUMMYFUNCTION("""COMPUTED_VALUE"""),"control")</f>
        <v>control</v>
      </c>
      <c r="D1121" s="1" t="str">
        <f>IFERROR(__xludf.DUMMYFUNCTION("""COMPUTED_VALUE"""),"old_page")</f>
        <v>old_page</v>
      </c>
      <c r="E1121" s="1">
        <f>IFERROR(__xludf.DUMMYFUNCTION("""COMPUTED_VALUE"""),0.0)</f>
        <v>0</v>
      </c>
    </row>
    <row r="1122">
      <c r="A1122" s="1">
        <f>IFERROR(__xludf.DUMMYFUNCTION("""COMPUTED_VALUE"""),918982.0)</f>
        <v>918982</v>
      </c>
      <c r="B1122" s="2">
        <f>IFERROR(__xludf.DUMMYFUNCTION("""COMPUTED_VALUE"""),42751.596218508916)</f>
        <v>42751.59622</v>
      </c>
      <c r="C1122" s="1" t="str">
        <f>IFERROR(__xludf.DUMMYFUNCTION("""COMPUTED_VALUE"""),"treatment")</f>
        <v>treatment</v>
      </c>
      <c r="D1122" s="1" t="str">
        <f>IFERROR(__xludf.DUMMYFUNCTION("""COMPUTED_VALUE"""),"new_page")</f>
        <v>new_page</v>
      </c>
      <c r="E1122" s="1">
        <f>IFERROR(__xludf.DUMMYFUNCTION("""COMPUTED_VALUE"""),0.0)</f>
        <v>0</v>
      </c>
    </row>
    <row r="1123">
      <c r="A1123" s="1">
        <f>IFERROR(__xludf.DUMMYFUNCTION("""COMPUTED_VALUE"""),717249.0)</f>
        <v>717249</v>
      </c>
      <c r="B1123" s="2">
        <f>IFERROR(__xludf.DUMMYFUNCTION("""COMPUTED_VALUE"""),42748.050951848636)</f>
        <v>42748.05095</v>
      </c>
      <c r="C1123" s="1" t="str">
        <f>IFERROR(__xludf.DUMMYFUNCTION("""COMPUTED_VALUE"""),"control")</f>
        <v>control</v>
      </c>
      <c r="D1123" s="1" t="str">
        <f>IFERROR(__xludf.DUMMYFUNCTION("""COMPUTED_VALUE"""),"old_page")</f>
        <v>old_page</v>
      </c>
      <c r="E1123" s="1">
        <f>IFERROR(__xludf.DUMMYFUNCTION("""COMPUTED_VALUE"""),0.0)</f>
        <v>0</v>
      </c>
    </row>
    <row r="1124">
      <c r="A1124" s="1">
        <f>IFERROR(__xludf.DUMMYFUNCTION("""COMPUTED_VALUE"""),807822.0)</f>
        <v>807822</v>
      </c>
      <c r="B1124" s="2">
        <f>IFERROR(__xludf.DUMMYFUNCTION("""COMPUTED_VALUE"""),42751.827834850716)</f>
        <v>42751.82783</v>
      </c>
      <c r="C1124" s="1" t="str">
        <f>IFERROR(__xludf.DUMMYFUNCTION("""COMPUTED_VALUE"""),"treatment")</f>
        <v>treatment</v>
      </c>
      <c r="D1124" s="1" t="str">
        <f>IFERROR(__xludf.DUMMYFUNCTION("""COMPUTED_VALUE"""),"new_page")</f>
        <v>new_page</v>
      </c>
      <c r="E1124" s="1">
        <f>IFERROR(__xludf.DUMMYFUNCTION("""COMPUTED_VALUE"""),0.0)</f>
        <v>0</v>
      </c>
    </row>
    <row r="1125">
      <c r="A1125" s="1">
        <f>IFERROR(__xludf.DUMMYFUNCTION("""COMPUTED_VALUE"""),896211.0)</f>
        <v>896211</v>
      </c>
      <c r="B1125" s="2">
        <f>IFERROR(__xludf.DUMMYFUNCTION("""COMPUTED_VALUE"""),42752.53303531705)</f>
        <v>42752.53304</v>
      </c>
      <c r="C1125" s="1" t="str">
        <f>IFERROR(__xludf.DUMMYFUNCTION("""COMPUTED_VALUE"""),"treatment")</f>
        <v>treatment</v>
      </c>
      <c r="D1125" s="1" t="str">
        <f>IFERROR(__xludf.DUMMYFUNCTION("""COMPUTED_VALUE"""),"new_page")</f>
        <v>new_page</v>
      </c>
      <c r="E1125" s="1">
        <f>IFERROR(__xludf.DUMMYFUNCTION("""COMPUTED_VALUE"""),0.0)</f>
        <v>0</v>
      </c>
    </row>
    <row r="1126">
      <c r="A1126" s="1">
        <f>IFERROR(__xludf.DUMMYFUNCTION("""COMPUTED_VALUE"""),714361.0)</f>
        <v>714361</v>
      </c>
      <c r="B1126" s="2">
        <f>IFERROR(__xludf.DUMMYFUNCTION("""COMPUTED_VALUE"""),42755.21413031382)</f>
        <v>42755.21413</v>
      </c>
      <c r="C1126" s="1" t="str">
        <f>IFERROR(__xludf.DUMMYFUNCTION("""COMPUTED_VALUE"""),"control")</f>
        <v>control</v>
      </c>
      <c r="D1126" s="1" t="str">
        <f>IFERROR(__xludf.DUMMYFUNCTION("""COMPUTED_VALUE"""),"old_page")</f>
        <v>old_page</v>
      </c>
      <c r="E1126" s="1">
        <f>IFERROR(__xludf.DUMMYFUNCTION("""COMPUTED_VALUE"""),1.0)</f>
        <v>1</v>
      </c>
    </row>
    <row r="1127">
      <c r="A1127" s="1">
        <f>IFERROR(__xludf.DUMMYFUNCTION("""COMPUTED_VALUE"""),812845.0)</f>
        <v>812845</v>
      </c>
      <c r="B1127" s="2">
        <f>IFERROR(__xludf.DUMMYFUNCTION("""COMPUTED_VALUE"""),42753.80436159432)</f>
        <v>42753.80436</v>
      </c>
      <c r="C1127" s="1" t="str">
        <f>IFERROR(__xludf.DUMMYFUNCTION("""COMPUTED_VALUE"""),"treatment")</f>
        <v>treatment</v>
      </c>
      <c r="D1127" s="1" t="str">
        <f>IFERROR(__xludf.DUMMYFUNCTION("""COMPUTED_VALUE"""),"new_page")</f>
        <v>new_page</v>
      </c>
      <c r="E1127" s="1">
        <f>IFERROR(__xludf.DUMMYFUNCTION("""COMPUTED_VALUE"""),0.0)</f>
        <v>0</v>
      </c>
    </row>
    <row r="1128">
      <c r="A1128" s="1">
        <f>IFERROR(__xludf.DUMMYFUNCTION("""COMPUTED_VALUE"""),843066.0)</f>
        <v>843066</v>
      </c>
      <c r="B1128" s="2">
        <f>IFERROR(__xludf.DUMMYFUNCTION("""COMPUTED_VALUE"""),42759.01697077317)</f>
        <v>42759.01697</v>
      </c>
      <c r="C1128" s="1" t="str">
        <f>IFERROR(__xludf.DUMMYFUNCTION("""COMPUTED_VALUE"""),"treatment")</f>
        <v>treatment</v>
      </c>
      <c r="D1128" s="1" t="str">
        <f>IFERROR(__xludf.DUMMYFUNCTION("""COMPUTED_VALUE"""),"new_page")</f>
        <v>new_page</v>
      </c>
      <c r="E1128" s="1">
        <f>IFERROR(__xludf.DUMMYFUNCTION("""COMPUTED_VALUE"""),0.0)</f>
        <v>0</v>
      </c>
    </row>
    <row r="1129">
      <c r="A1129" s="1">
        <f>IFERROR(__xludf.DUMMYFUNCTION("""COMPUTED_VALUE"""),672987.0)</f>
        <v>672987</v>
      </c>
      <c r="B1129" s="2">
        <f>IFERROR(__xludf.DUMMYFUNCTION("""COMPUTED_VALUE"""),42745.54808139629)</f>
        <v>42745.54808</v>
      </c>
      <c r="C1129" s="1" t="str">
        <f>IFERROR(__xludf.DUMMYFUNCTION("""COMPUTED_VALUE"""),"treatment")</f>
        <v>treatment</v>
      </c>
      <c r="D1129" s="1" t="str">
        <f>IFERROR(__xludf.DUMMYFUNCTION("""COMPUTED_VALUE"""),"new_page")</f>
        <v>new_page</v>
      </c>
      <c r="E1129" s="1">
        <f>IFERROR(__xludf.DUMMYFUNCTION("""COMPUTED_VALUE"""),1.0)</f>
        <v>1</v>
      </c>
    </row>
    <row r="1130">
      <c r="A1130" s="1">
        <f>IFERROR(__xludf.DUMMYFUNCTION("""COMPUTED_VALUE"""),703167.0)</f>
        <v>703167</v>
      </c>
      <c r="B1130" s="2">
        <f>IFERROR(__xludf.DUMMYFUNCTION("""COMPUTED_VALUE"""),42743.609741875924)</f>
        <v>42743.60974</v>
      </c>
      <c r="C1130" s="1" t="str">
        <f>IFERROR(__xludf.DUMMYFUNCTION("""COMPUTED_VALUE"""),"control")</f>
        <v>control</v>
      </c>
      <c r="D1130" s="1" t="str">
        <f>IFERROR(__xludf.DUMMYFUNCTION("""COMPUTED_VALUE"""),"old_page")</f>
        <v>old_page</v>
      </c>
      <c r="E1130" s="1">
        <f>IFERROR(__xludf.DUMMYFUNCTION("""COMPUTED_VALUE"""),0.0)</f>
        <v>0</v>
      </c>
    </row>
    <row r="1131">
      <c r="A1131" s="1">
        <f>IFERROR(__xludf.DUMMYFUNCTION("""COMPUTED_VALUE"""),666659.0)</f>
        <v>666659</v>
      </c>
      <c r="B1131" s="2">
        <f>IFERROR(__xludf.DUMMYFUNCTION("""COMPUTED_VALUE"""),42748.941835777914)</f>
        <v>42748.94184</v>
      </c>
      <c r="C1131" s="1" t="str">
        <f>IFERROR(__xludf.DUMMYFUNCTION("""COMPUTED_VALUE"""),"control")</f>
        <v>control</v>
      </c>
      <c r="D1131" s="1" t="str">
        <f>IFERROR(__xludf.DUMMYFUNCTION("""COMPUTED_VALUE"""),"old_page")</f>
        <v>old_page</v>
      </c>
      <c r="E1131" s="1">
        <f>IFERROR(__xludf.DUMMYFUNCTION("""COMPUTED_VALUE"""),0.0)</f>
        <v>0</v>
      </c>
    </row>
    <row r="1132">
      <c r="A1132" s="1">
        <f>IFERROR(__xludf.DUMMYFUNCTION("""COMPUTED_VALUE"""),919006.0)</f>
        <v>919006</v>
      </c>
      <c r="B1132" s="2">
        <f>IFERROR(__xludf.DUMMYFUNCTION("""COMPUTED_VALUE"""),42759.211371742975)</f>
        <v>42759.21137</v>
      </c>
      <c r="C1132" s="1" t="str">
        <f>IFERROR(__xludf.DUMMYFUNCTION("""COMPUTED_VALUE"""),"control")</f>
        <v>control</v>
      </c>
      <c r="D1132" s="1" t="str">
        <f>IFERROR(__xludf.DUMMYFUNCTION("""COMPUTED_VALUE"""),"old_page")</f>
        <v>old_page</v>
      </c>
      <c r="E1132" s="1">
        <f>IFERROR(__xludf.DUMMYFUNCTION("""COMPUTED_VALUE"""),0.0)</f>
        <v>0</v>
      </c>
    </row>
    <row r="1133">
      <c r="A1133" s="1">
        <f>IFERROR(__xludf.DUMMYFUNCTION("""COMPUTED_VALUE"""),649788.0)</f>
        <v>649788</v>
      </c>
      <c r="B1133" s="2">
        <f>IFERROR(__xludf.DUMMYFUNCTION("""COMPUTED_VALUE"""),42738.68626260031)</f>
        <v>42738.68626</v>
      </c>
      <c r="C1133" s="1" t="str">
        <f>IFERROR(__xludf.DUMMYFUNCTION("""COMPUTED_VALUE"""),"control")</f>
        <v>control</v>
      </c>
      <c r="D1133" s="1" t="str">
        <f>IFERROR(__xludf.DUMMYFUNCTION("""COMPUTED_VALUE"""),"old_page")</f>
        <v>old_page</v>
      </c>
      <c r="E1133" s="1">
        <f>IFERROR(__xludf.DUMMYFUNCTION("""COMPUTED_VALUE"""),0.0)</f>
        <v>0</v>
      </c>
    </row>
    <row r="1134">
      <c r="A1134" s="1">
        <f>IFERROR(__xludf.DUMMYFUNCTION("""COMPUTED_VALUE"""),846310.0)</f>
        <v>846310</v>
      </c>
      <c r="B1134" s="2">
        <f>IFERROR(__xludf.DUMMYFUNCTION("""COMPUTED_VALUE"""),42755.29835491124)</f>
        <v>42755.29835</v>
      </c>
      <c r="C1134" s="1" t="str">
        <f>IFERROR(__xludf.DUMMYFUNCTION("""COMPUTED_VALUE"""),"control")</f>
        <v>control</v>
      </c>
      <c r="D1134" s="1" t="str">
        <f>IFERROR(__xludf.DUMMYFUNCTION("""COMPUTED_VALUE"""),"old_page")</f>
        <v>old_page</v>
      </c>
      <c r="E1134" s="1">
        <f>IFERROR(__xludf.DUMMYFUNCTION("""COMPUTED_VALUE"""),0.0)</f>
        <v>0</v>
      </c>
    </row>
    <row r="1135">
      <c r="A1135" s="1">
        <f>IFERROR(__xludf.DUMMYFUNCTION("""COMPUTED_VALUE"""),808769.0)</f>
        <v>808769</v>
      </c>
      <c r="B1135" s="2">
        <f>IFERROR(__xludf.DUMMYFUNCTION("""COMPUTED_VALUE"""),42747.10242019368)</f>
        <v>42747.10242</v>
      </c>
      <c r="C1135" s="1" t="str">
        <f>IFERROR(__xludf.DUMMYFUNCTION("""COMPUTED_VALUE"""),"control")</f>
        <v>control</v>
      </c>
      <c r="D1135" s="1" t="str">
        <f>IFERROR(__xludf.DUMMYFUNCTION("""COMPUTED_VALUE"""),"old_page")</f>
        <v>old_page</v>
      </c>
      <c r="E1135" s="1">
        <f>IFERROR(__xludf.DUMMYFUNCTION("""COMPUTED_VALUE"""),0.0)</f>
        <v>0</v>
      </c>
    </row>
    <row r="1136">
      <c r="A1136" s="1">
        <f>IFERROR(__xludf.DUMMYFUNCTION("""COMPUTED_VALUE"""),911707.0)</f>
        <v>911707</v>
      </c>
      <c r="B1136" s="2">
        <f>IFERROR(__xludf.DUMMYFUNCTION("""COMPUTED_VALUE"""),42748.270406981814)</f>
        <v>42748.27041</v>
      </c>
      <c r="C1136" s="1" t="str">
        <f>IFERROR(__xludf.DUMMYFUNCTION("""COMPUTED_VALUE"""),"control")</f>
        <v>control</v>
      </c>
      <c r="D1136" s="1" t="str">
        <f>IFERROR(__xludf.DUMMYFUNCTION("""COMPUTED_VALUE"""),"old_page")</f>
        <v>old_page</v>
      </c>
      <c r="E1136" s="1">
        <f>IFERROR(__xludf.DUMMYFUNCTION("""COMPUTED_VALUE"""),1.0)</f>
        <v>1</v>
      </c>
    </row>
    <row r="1137">
      <c r="A1137" s="1">
        <f>IFERROR(__xludf.DUMMYFUNCTION("""COMPUTED_VALUE"""),673004.0)</f>
        <v>673004</v>
      </c>
      <c r="B1137" s="2">
        <f>IFERROR(__xludf.DUMMYFUNCTION("""COMPUTED_VALUE"""),42745.61359336521)</f>
        <v>42745.61359</v>
      </c>
      <c r="C1137" s="1" t="str">
        <f>IFERROR(__xludf.DUMMYFUNCTION("""COMPUTED_VALUE"""),"treatment")</f>
        <v>treatment</v>
      </c>
      <c r="D1137" s="1" t="str">
        <f>IFERROR(__xludf.DUMMYFUNCTION("""COMPUTED_VALUE"""),"new_page")</f>
        <v>new_page</v>
      </c>
      <c r="E1137" s="1">
        <f>IFERROR(__xludf.DUMMYFUNCTION("""COMPUTED_VALUE"""),0.0)</f>
        <v>0</v>
      </c>
    </row>
    <row r="1138">
      <c r="A1138" s="1">
        <f>IFERROR(__xludf.DUMMYFUNCTION("""COMPUTED_VALUE"""),723137.0)</f>
        <v>723137</v>
      </c>
      <c r="B1138" s="2">
        <f>IFERROR(__xludf.DUMMYFUNCTION("""COMPUTED_VALUE"""),42747.0414626478)</f>
        <v>42747.04146</v>
      </c>
      <c r="C1138" s="1" t="str">
        <f>IFERROR(__xludf.DUMMYFUNCTION("""COMPUTED_VALUE"""),"control")</f>
        <v>control</v>
      </c>
      <c r="D1138" s="1" t="str">
        <f>IFERROR(__xludf.DUMMYFUNCTION("""COMPUTED_VALUE"""),"old_page")</f>
        <v>old_page</v>
      </c>
      <c r="E1138" s="1">
        <f>IFERROR(__xludf.DUMMYFUNCTION("""COMPUTED_VALUE"""),0.0)</f>
        <v>0</v>
      </c>
    </row>
    <row r="1139">
      <c r="A1139" s="1">
        <f>IFERROR(__xludf.DUMMYFUNCTION("""COMPUTED_VALUE"""),865250.0)</f>
        <v>865250</v>
      </c>
      <c r="B1139" s="2">
        <f>IFERROR(__xludf.DUMMYFUNCTION("""COMPUTED_VALUE"""),42738.52636917443)</f>
        <v>42738.52637</v>
      </c>
      <c r="C1139" s="1" t="str">
        <f>IFERROR(__xludf.DUMMYFUNCTION("""COMPUTED_VALUE"""),"control")</f>
        <v>control</v>
      </c>
      <c r="D1139" s="1" t="str">
        <f>IFERROR(__xludf.DUMMYFUNCTION("""COMPUTED_VALUE"""),"old_page")</f>
        <v>old_page</v>
      </c>
      <c r="E1139" s="1">
        <f>IFERROR(__xludf.DUMMYFUNCTION("""COMPUTED_VALUE"""),0.0)</f>
        <v>0</v>
      </c>
    </row>
    <row r="1140">
      <c r="A1140" s="1">
        <f>IFERROR(__xludf.DUMMYFUNCTION("""COMPUTED_VALUE"""),721274.0)</f>
        <v>721274</v>
      </c>
      <c r="B1140" s="2">
        <f>IFERROR(__xludf.DUMMYFUNCTION("""COMPUTED_VALUE"""),42753.20107542214)</f>
        <v>42753.20108</v>
      </c>
      <c r="C1140" s="1" t="str">
        <f>IFERROR(__xludf.DUMMYFUNCTION("""COMPUTED_VALUE"""),"control")</f>
        <v>control</v>
      </c>
      <c r="D1140" s="1" t="str">
        <f>IFERROR(__xludf.DUMMYFUNCTION("""COMPUTED_VALUE"""),"old_page")</f>
        <v>old_page</v>
      </c>
      <c r="E1140" s="1">
        <f>IFERROR(__xludf.DUMMYFUNCTION("""COMPUTED_VALUE"""),0.0)</f>
        <v>0</v>
      </c>
    </row>
    <row r="1141">
      <c r="A1141" s="1">
        <f>IFERROR(__xludf.DUMMYFUNCTION("""COMPUTED_VALUE"""),693279.0)</f>
        <v>693279</v>
      </c>
      <c r="B1141" s="2">
        <f>IFERROR(__xludf.DUMMYFUNCTION("""COMPUTED_VALUE"""),42751.772175304235)</f>
        <v>42751.77218</v>
      </c>
      <c r="C1141" s="1" t="str">
        <f>IFERROR(__xludf.DUMMYFUNCTION("""COMPUTED_VALUE"""),"treatment")</f>
        <v>treatment</v>
      </c>
      <c r="D1141" s="1" t="str">
        <f>IFERROR(__xludf.DUMMYFUNCTION("""COMPUTED_VALUE"""),"new_page")</f>
        <v>new_page</v>
      </c>
      <c r="E1141" s="1">
        <f>IFERROR(__xludf.DUMMYFUNCTION("""COMPUTED_VALUE"""),0.0)</f>
        <v>0</v>
      </c>
    </row>
    <row r="1142">
      <c r="A1142" s="1">
        <f>IFERROR(__xludf.DUMMYFUNCTION("""COMPUTED_VALUE"""),712178.0)</f>
        <v>712178</v>
      </c>
      <c r="B1142" s="2">
        <f>IFERROR(__xludf.DUMMYFUNCTION("""COMPUTED_VALUE"""),42745.30913484271)</f>
        <v>42745.30913</v>
      </c>
      <c r="C1142" s="1" t="str">
        <f>IFERROR(__xludf.DUMMYFUNCTION("""COMPUTED_VALUE"""),"control")</f>
        <v>control</v>
      </c>
      <c r="D1142" s="1" t="str">
        <f>IFERROR(__xludf.DUMMYFUNCTION("""COMPUTED_VALUE"""),"old_page")</f>
        <v>old_page</v>
      </c>
      <c r="E1142" s="1">
        <f>IFERROR(__xludf.DUMMYFUNCTION("""COMPUTED_VALUE"""),0.0)</f>
        <v>0</v>
      </c>
    </row>
    <row r="1143">
      <c r="A1143" s="1">
        <f>IFERROR(__xludf.DUMMYFUNCTION("""COMPUTED_VALUE"""),755978.0)</f>
        <v>755978</v>
      </c>
      <c r="B1143" s="2">
        <f>IFERROR(__xludf.DUMMYFUNCTION("""COMPUTED_VALUE"""),42753.78926153946)</f>
        <v>42753.78926</v>
      </c>
      <c r="C1143" s="1" t="str">
        <f>IFERROR(__xludf.DUMMYFUNCTION("""COMPUTED_VALUE"""),"treatment")</f>
        <v>treatment</v>
      </c>
      <c r="D1143" s="1" t="str">
        <f>IFERROR(__xludf.DUMMYFUNCTION("""COMPUTED_VALUE"""),"new_page")</f>
        <v>new_page</v>
      </c>
      <c r="E1143" s="1">
        <f>IFERROR(__xludf.DUMMYFUNCTION("""COMPUTED_VALUE"""),0.0)</f>
        <v>0</v>
      </c>
    </row>
    <row r="1144">
      <c r="A1144" s="1">
        <f>IFERROR(__xludf.DUMMYFUNCTION("""COMPUTED_VALUE"""),771879.0)</f>
        <v>771879</v>
      </c>
      <c r="B1144" s="2">
        <f>IFERROR(__xludf.DUMMYFUNCTION("""COMPUTED_VALUE"""),42746.86643902754)</f>
        <v>42746.86644</v>
      </c>
      <c r="C1144" s="1" t="str">
        <f>IFERROR(__xludf.DUMMYFUNCTION("""COMPUTED_VALUE"""),"control")</f>
        <v>control</v>
      </c>
      <c r="D1144" s="1" t="str">
        <f>IFERROR(__xludf.DUMMYFUNCTION("""COMPUTED_VALUE"""),"old_page")</f>
        <v>old_page</v>
      </c>
      <c r="E1144" s="1">
        <f>IFERROR(__xludf.DUMMYFUNCTION("""COMPUTED_VALUE"""),0.0)</f>
        <v>0</v>
      </c>
    </row>
    <row r="1145">
      <c r="A1145" s="1">
        <f>IFERROR(__xludf.DUMMYFUNCTION("""COMPUTED_VALUE"""),828977.0)</f>
        <v>828977</v>
      </c>
      <c r="B1145" s="2">
        <f>IFERROR(__xludf.DUMMYFUNCTION("""COMPUTED_VALUE"""),42754.109431282974)</f>
        <v>42754.10943</v>
      </c>
      <c r="C1145" s="1" t="str">
        <f>IFERROR(__xludf.DUMMYFUNCTION("""COMPUTED_VALUE"""),"control")</f>
        <v>control</v>
      </c>
      <c r="D1145" s="1" t="str">
        <f>IFERROR(__xludf.DUMMYFUNCTION("""COMPUTED_VALUE"""),"old_page")</f>
        <v>old_page</v>
      </c>
      <c r="E1145" s="1">
        <f>IFERROR(__xludf.DUMMYFUNCTION("""COMPUTED_VALUE"""),0.0)</f>
        <v>0</v>
      </c>
    </row>
    <row r="1146">
      <c r="A1146" s="1">
        <f>IFERROR(__xludf.DUMMYFUNCTION("""COMPUTED_VALUE"""),720164.0)</f>
        <v>720164</v>
      </c>
      <c r="B1146" s="2">
        <f>IFERROR(__xludf.DUMMYFUNCTION("""COMPUTED_VALUE"""),42754.07317479095)</f>
        <v>42754.07317</v>
      </c>
      <c r="C1146" s="1" t="str">
        <f>IFERROR(__xludf.DUMMYFUNCTION("""COMPUTED_VALUE"""),"treatment")</f>
        <v>treatment</v>
      </c>
      <c r="D1146" s="1" t="str">
        <f>IFERROR(__xludf.DUMMYFUNCTION("""COMPUTED_VALUE"""),"new_page")</f>
        <v>new_page</v>
      </c>
      <c r="E1146" s="1">
        <f>IFERROR(__xludf.DUMMYFUNCTION("""COMPUTED_VALUE"""),1.0)</f>
        <v>1</v>
      </c>
    </row>
    <row r="1147">
      <c r="A1147" s="1">
        <f>IFERROR(__xludf.DUMMYFUNCTION("""COMPUTED_VALUE"""),837608.0)</f>
        <v>837608</v>
      </c>
      <c r="B1147" s="2">
        <f>IFERROR(__xludf.DUMMYFUNCTION("""COMPUTED_VALUE"""),42738.77576351228)</f>
        <v>42738.77576</v>
      </c>
      <c r="C1147" s="1" t="str">
        <f>IFERROR(__xludf.DUMMYFUNCTION("""COMPUTED_VALUE"""),"control")</f>
        <v>control</v>
      </c>
      <c r="D1147" s="1" t="str">
        <f>IFERROR(__xludf.DUMMYFUNCTION("""COMPUTED_VALUE"""),"old_page")</f>
        <v>old_page</v>
      </c>
      <c r="E1147" s="1">
        <f>IFERROR(__xludf.DUMMYFUNCTION("""COMPUTED_VALUE"""),0.0)</f>
        <v>0</v>
      </c>
    </row>
    <row r="1148">
      <c r="A1148" s="1">
        <f>IFERROR(__xludf.DUMMYFUNCTION("""COMPUTED_VALUE"""),707391.0)</f>
        <v>707391</v>
      </c>
      <c r="B1148" s="2">
        <f>IFERROR(__xludf.DUMMYFUNCTION("""COMPUTED_VALUE"""),42740.19192693573)</f>
        <v>42740.19193</v>
      </c>
      <c r="C1148" s="1" t="str">
        <f>IFERROR(__xludf.DUMMYFUNCTION("""COMPUTED_VALUE"""),"control")</f>
        <v>control</v>
      </c>
      <c r="D1148" s="1" t="str">
        <f>IFERROR(__xludf.DUMMYFUNCTION("""COMPUTED_VALUE"""),"old_page")</f>
        <v>old_page</v>
      </c>
      <c r="E1148" s="1">
        <f>IFERROR(__xludf.DUMMYFUNCTION("""COMPUTED_VALUE"""),0.0)</f>
        <v>0</v>
      </c>
    </row>
    <row r="1149">
      <c r="A1149" s="1">
        <f>IFERROR(__xludf.DUMMYFUNCTION("""COMPUTED_VALUE"""),705081.0)</f>
        <v>705081</v>
      </c>
      <c r="B1149" s="2">
        <f>IFERROR(__xludf.DUMMYFUNCTION("""COMPUTED_VALUE"""),42743.77865535861)</f>
        <v>42743.77866</v>
      </c>
      <c r="C1149" s="1" t="str">
        <f>IFERROR(__xludf.DUMMYFUNCTION("""COMPUTED_VALUE"""),"treatment")</f>
        <v>treatment</v>
      </c>
      <c r="D1149" s="1" t="str">
        <f>IFERROR(__xludf.DUMMYFUNCTION("""COMPUTED_VALUE"""),"new_page")</f>
        <v>new_page</v>
      </c>
      <c r="E1149" s="1">
        <f>IFERROR(__xludf.DUMMYFUNCTION("""COMPUTED_VALUE"""),1.0)</f>
        <v>1</v>
      </c>
    </row>
    <row r="1150">
      <c r="A1150" s="1">
        <f>IFERROR(__xludf.DUMMYFUNCTION("""COMPUTED_VALUE"""),885012.0)</f>
        <v>885012</v>
      </c>
      <c r="B1150" s="2">
        <f>IFERROR(__xludf.DUMMYFUNCTION("""COMPUTED_VALUE"""),42751.706393961525)</f>
        <v>42751.70639</v>
      </c>
      <c r="C1150" s="1" t="str">
        <f>IFERROR(__xludf.DUMMYFUNCTION("""COMPUTED_VALUE"""),"treatment")</f>
        <v>treatment</v>
      </c>
      <c r="D1150" s="1" t="str">
        <f>IFERROR(__xludf.DUMMYFUNCTION("""COMPUTED_VALUE"""),"new_page")</f>
        <v>new_page</v>
      </c>
      <c r="E1150" s="1">
        <f>IFERROR(__xludf.DUMMYFUNCTION("""COMPUTED_VALUE"""),0.0)</f>
        <v>0</v>
      </c>
    </row>
    <row r="1151">
      <c r="A1151" s="1">
        <f>IFERROR(__xludf.DUMMYFUNCTION("""COMPUTED_VALUE"""),841462.0)</f>
        <v>841462</v>
      </c>
      <c r="B1151" s="2">
        <f>IFERROR(__xludf.DUMMYFUNCTION("""COMPUTED_VALUE"""),42745.71222226251)</f>
        <v>42745.71222</v>
      </c>
      <c r="C1151" s="1" t="str">
        <f>IFERROR(__xludf.DUMMYFUNCTION("""COMPUTED_VALUE"""),"control")</f>
        <v>control</v>
      </c>
      <c r="D1151" s="1" t="str">
        <f>IFERROR(__xludf.DUMMYFUNCTION("""COMPUTED_VALUE"""),"old_page")</f>
        <v>old_page</v>
      </c>
      <c r="E1151" s="1">
        <f>IFERROR(__xludf.DUMMYFUNCTION("""COMPUTED_VALUE"""),0.0)</f>
        <v>0</v>
      </c>
    </row>
    <row r="1152">
      <c r="A1152" s="1">
        <f>IFERROR(__xludf.DUMMYFUNCTION("""COMPUTED_VALUE"""),803883.0)</f>
        <v>803883</v>
      </c>
      <c r="B1152" s="2">
        <f>IFERROR(__xludf.DUMMYFUNCTION("""COMPUTED_VALUE"""),42750.348558970894)</f>
        <v>42750.34856</v>
      </c>
      <c r="C1152" s="1" t="str">
        <f>IFERROR(__xludf.DUMMYFUNCTION("""COMPUTED_VALUE"""),"control")</f>
        <v>control</v>
      </c>
      <c r="D1152" s="1" t="str">
        <f>IFERROR(__xludf.DUMMYFUNCTION("""COMPUTED_VALUE"""),"old_page")</f>
        <v>old_page</v>
      </c>
      <c r="E1152" s="1">
        <f>IFERROR(__xludf.DUMMYFUNCTION("""COMPUTED_VALUE"""),0.0)</f>
        <v>0</v>
      </c>
    </row>
    <row r="1153">
      <c r="A1153" s="1">
        <f>IFERROR(__xludf.DUMMYFUNCTION("""COMPUTED_VALUE"""),684855.0)</f>
        <v>684855</v>
      </c>
      <c r="B1153" s="2">
        <f>IFERROR(__xludf.DUMMYFUNCTION("""COMPUTED_VALUE"""),42747.82680604609)</f>
        <v>42747.82681</v>
      </c>
      <c r="C1153" s="1" t="str">
        <f>IFERROR(__xludf.DUMMYFUNCTION("""COMPUTED_VALUE"""),"treatment")</f>
        <v>treatment</v>
      </c>
      <c r="D1153" s="1" t="str">
        <f>IFERROR(__xludf.DUMMYFUNCTION("""COMPUTED_VALUE"""),"new_page")</f>
        <v>new_page</v>
      </c>
      <c r="E1153" s="1">
        <f>IFERROR(__xludf.DUMMYFUNCTION("""COMPUTED_VALUE"""),0.0)</f>
        <v>0</v>
      </c>
    </row>
    <row r="1154">
      <c r="A1154" s="1">
        <f>IFERROR(__xludf.DUMMYFUNCTION("""COMPUTED_VALUE"""),666613.0)</f>
        <v>666613</v>
      </c>
      <c r="B1154" s="2">
        <f>IFERROR(__xludf.DUMMYFUNCTION("""COMPUTED_VALUE"""),42748.54083614932)</f>
        <v>42748.54084</v>
      </c>
      <c r="C1154" s="1" t="str">
        <f>IFERROR(__xludf.DUMMYFUNCTION("""COMPUTED_VALUE"""),"treatment")</f>
        <v>treatment</v>
      </c>
      <c r="D1154" s="1" t="str">
        <f>IFERROR(__xludf.DUMMYFUNCTION("""COMPUTED_VALUE"""),"new_page")</f>
        <v>new_page</v>
      </c>
      <c r="E1154" s="1">
        <f>IFERROR(__xludf.DUMMYFUNCTION("""COMPUTED_VALUE"""),0.0)</f>
        <v>0</v>
      </c>
    </row>
    <row r="1155">
      <c r="A1155" s="1">
        <f>IFERROR(__xludf.DUMMYFUNCTION("""COMPUTED_VALUE"""),831647.0)</f>
        <v>831647</v>
      </c>
      <c r="B1155" s="2">
        <f>IFERROR(__xludf.DUMMYFUNCTION("""COMPUTED_VALUE"""),42755.87282485611)</f>
        <v>42755.87282</v>
      </c>
      <c r="C1155" s="1" t="str">
        <f>IFERROR(__xludf.DUMMYFUNCTION("""COMPUTED_VALUE"""),"control")</f>
        <v>control</v>
      </c>
      <c r="D1155" s="1" t="str">
        <f>IFERROR(__xludf.DUMMYFUNCTION("""COMPUTED_VALUE"""),"old_page")</f>
        <v>old_page</v>
      </c>
      <c r="E1155" s="1">
        <f>IFERROR(__xludf.DUMMYFUNCTION("""COMPUTED_VALUE"""),0.0)</f>
        <v>0</v>
      </c>
    </row>
    <row r="1156">
      <c r="A1156" s="1">
        <f>IFERROR(__xludf.DUMMYFUNCTION("""COMPUTED_VALUE"""),672900.0)</f>
        <v>672900</v>
      </c>
      <c r="B1156" s="2">
        <f>IFERROR(__xludf.DUMMYFUNCTION("""COMPUTED_VALUE"""),42739.77150444042)</f>
        <v>42739.7715</v>
      </c>
      <c r="C1156" s="1" t="str">
        <f>IFERROR(__xludf.DUMMYFUNCTION("""COMPUTED_VALUE"""),"treatment")</f>
        <v>treatment</v>
      </c>
      <c r="D1156" s="1" t="str">
        <f>IFERROR(__xludf.DUMMYFUNCTION("""COMPUTED_VALUE"""),"new_page")</f>
        <v>new_page</v>
      </c>
      <c r="E1156" s="1">
        <f>IFERROR(__xludf.DUMMYFUNCTION("""COMPUTED_VALUE"""),1.0)</f>
        <v>1</v>
      </c>
    </row>
    <row r="1157">
      <c r="A1157" s="1">
        <f>IFERROR(__xludf.DUMMYFUNCTION("""COMPUTED_VALUE"""),842030.0)</f>
        <v>842030</v>
      </c>
      <c r="B1157" s="2">
        <f>IFERROR(__xludf.DUMMYFUNCTION("""COMPUTED_VALUE"""),42757.29970159138)</f>
        <v>42757.2997</v>
      </c>
      <c r="C1157" s="1" t="str">
        <f>IFERROR(__xludf.DUMMYFUNCTION("""COMPUTED_VALUE"""),"treatment")</f>
        <v>treatment</v>
      </c>
      <c r="D1157" s="1" t="str">
        <f>IFERROR(__xludf.DUMMYFUNCTION("""COMPUTED_VALUE"""),"new_page")</f>
        <v>new_page</v>
      </c>
      <c r="E1157" s="1">
        <f>IFERROR(__xludf.DUMMYFUNCTION("""COMPUTED_VALUE"""),1.0)</f>
        <v>1</v>
      </c>
    </row>
    <row r="1158">
      <c r="A1158" s="1">
        <f>IFERROR(__xludf.DUMMYFUNCTION("""COMPUTED_VALUE"""),939111.0)</f>
        <v>939111</v>
      </c>
      <c r="B1158" s="2">
        <f>IFERROR(__xludf.DUMMYFUNCTION("""COMPUTED_VALUE"""),42738.86675768572)</f>
        <v>42738.86676</v>
      </c>
      <c r="C1158" s="1" t="str">
        <f>IFERROR(__xludf.DUMMYFUNCTION("""COMPUTED_VALUE"""),"treatment")</f>
        <v>treatment</v>
      </c>
      <c r="D1158" s="1" t="str">
        <f>IFERROR(__xludf.DUMMYFUNCTION("""COMPUTED_VALUE"""),"new_page")</f>
        <v>new_page</v>
      </c>
      <c r="E1158" s="1">
        <f>IFERROR(__xludf.DUMMYFUNCTION("""COMPUTED_VALUE"""),0.0)</f>
        <v>0</v>
      </c>
    </row>
    <row r="1159">
      <c r="A1159" s="1">
        <f>IFERROR(__xludf.DUMMYFUNCTION("""COMPUTED_VALUE"""),702919.0)</f>
        <v>702919</v>
      </c>
      <c r="B1159" s="2">
        <f>IFERROR(__xludf.DUMMYFUNCTION("""COMPUTED_VALUE"""),42759.03695588233)</f>
        <v>42759.03696</v>
      </c>
      <c r="C1159" s="1" t="str">
        <f>IFERROR(__xludf.DUMMYFUNCTION("""COMPUTED_VALUE"""),"control")</f>
        <v>control</v>
      </c>
      <c r="D1159" s="1" t="str">
        <f>IFERROR(__xludf.DUMMYFUNCTION("""COMPUTED_VALUE"""),"old_page")</f>
        <v>old_page</v>
      </c>
      <c r="E1159" s="1">
        <f>IFERROR(__xludf.DUMMYFUNCTION("""COMPUTED_VALUE"""),0.0)</f>
        <v>0</v>
      </c>
    </row>
    <row r="1160">
      <c r="A1160" s="1">
        <f>IFERROR(__xludf.DUMMYFUNCTION("""COMPUTED_VALUE"""),748078.0)</f>
        <v>748078</v>
      </c>
      <c r="B1160" s="2">
        <f>IFERROR(__xludf.DUMMYFUNCTION("""COMPUTED_VALUE"""),42746.78606099473)</f>
        <v>42746.78606</v>
      </c>
      <c r="C1160" s="1" t="str">
        <f>IFERROR(__xludf.DUMMYFUNCTION("""COMPUTED_VALUE"""),"treatment")</f>
        <v>treatment</v>
      </c>
      <c r="D1160" s="1" t="str">
        <f>IFERROR(__xludf.DUMMYFUNCTION("""COMPUTED_VALUE"""),"new_page")</f>
        <v>new_page</v>
      </c>
      <c r="E1160" s="1">
        <f>IFERROR(__xludf.DUMMYFUNCTION("""COMPUTED_VALUE"""),0.0)</f>
        <v>0</v>
      </c>
    </row>
    <row r="1161">
      <c r="A1161" s="1">
        <f>IFERROR(__xludf.DUMMYFUNCTION("""COMPUTED_VALUE"""),944045.0)</f>
        <v>944045</v>
      </c>
      <c r="B1161" s="2">
        <f>IFERROR(__xludf.DUMMYFUNCTION("""COMPUTED_VALUE"""),42751.478894504675)</f>
        <v>42751.47889</v>
      </c>
      <c r="C1161" s="1" t="str">
        <f>IFERROR(__xludf.DUMMYFUNCTION("""COMPUTED_VALUE"""),"treatment")</f>
        <v>treatment</v>
      </c>
      <c r="D1161" s="1" t="str">
        <f>IFERROR(__xludf.DUMMYFUNCTION("""COMPUTED_VALUE"""),"new_page")</f>
        <v>new_page</v>
      </c>
      <c r="E1161" s="1">
        <f>IFERROR(__xludf.DUMMYFUNCTION("""COMPUTED_VALUE"""),1.0)</f>
        <v>1</v>
      </c>
    </row>
    <row r="1162">
      <c r="A1162" s="1">
        <f>IFERROR(__xludf.DUMMYFUNCTION("""COMPUTED_VALUE"""),679641.0)</f>
        <v>679641</v>
      </c>
      <c r="B1162" s="2">
        <f>IFERROR(__xludf.DUMMYFUNCTION("""COMPUTED_VALUE"""),42758.04997263558)</f>
        <v>42758.04997</v>
      </c>
      <c r="C1162" s="1" t="str">
        <f>IFERROR(__xludf.DUMMYFUNCTION("""COMPUTED_VALUE"""),"treatment")</f>
        <v>treatment</v>
      </c>
      <c r="D1162" s="1" t="str">
        <f>IFERROR(__xludf.DUMMYFUNCTION("""COMPUTED_VALUE"""),"new_page")</f>
        <v>new_page</v>
      </c>
      <c r="E1162" s="1">
        <f>IFERROR(__xludf.DUMMYFUNCTION("""COMPUTED_VALUE"""),0.0)</f>
        <v>0</v>
      </c>
    </row>
    <row r="1163">
      <c r="A1163" s="1">
        <f>IFERROR(__xludf.DUMMYFUNCTION("""COMPUTED_VALUE"""),630341.0)</f>
        <v>630341</v>
      </c>
      <c r="B1163" s="2">
        <f>IFERROR(__xludf.DUMMYFUNCTION("""COMPUTED_VALUE"""),42738.42883962641)</f>
        <v>42738.42884</v>
      </c>
      <c r="C1163" s="1" t="str">
        <f>IFERROR(__xludf.DUMMYFUNCTION("""COMPUTED_VALUE"""),"control")</f>
        <v>control</v>
      </c>
      <c r="D1163" s="1" t="str">
        <f>IFERROR(__xludf.DUMMYFUNCTION("""COMPUTED_VALUE"""),"old_page")</f>
        <v>old_page</v>
      </c>
      <c r="E1163" s="1">
        <f>IFERROR(__xludf.DUMMYFUNCTION("""COMPUTED_VALUE"""),0.0)</f>
        <v>0</v>
      </c>
    </row>
    <row r="1164">
      <c r="A1164" s="1">
        <f>IFERROR(__xludf.DUMMYFUNCTION("""COMPUTED_VALUE"""),894719.0)</f>
        <v>894719</v>
      </c>
      <c r="B1164" s="2">
        <f>IFERROR(__xludf.DUMMYFUNCTION("""COMPUTED_VALUE"""),42753.66125153901)</f>
        <v>42753.66125</v>
      </c>
      <c r="C1164" s="1" t="str">
        <f>IFERROR(__xludf.DUMMYFUNCTION("""COMPUTED_VALUE"""),"control")</f>
        <v>control</v>
      </c>
      <c r="D1164" s="1" t="str">
        <f>IFERROR(__xludf.DUMMYFUNCTION("""COMPUTED_VALUE"""),"old_page")</f>
        <v>old_page</v>
      </c>
      <c r="E1164" s="1">
        <f>IFERROR(__xludf.DUMMYFUNCTION("""COMPUTED_VALUE"""),0.0)</f>
        <v>0</v>
      </c>
    </row>
    <row r="1165">
      <c r="A1165" s="1">
        <f>IFERROR(__xludf.DUMMYFUNCTION("""COMPUTED_VALUE"""),862354.0)</f>
        <v>862354</v>
      </c>
      <c r="B1165" s="2">
        <f>IFERROR(__xludf.DUMMYFUNCTION("""COMPUTED_VALUE"""),42749.39947256115)</f>
        <v>42749.39947</v>
      </c>
      <c r="C1165" s="1" t="str">
        <f>IFERROR(__xludf.DUMMYFUNCTION("""COMPUTED_VALUE"""),"treatment")</f>
        <v>treatment</v>
      </c>
      <c r="D1165" s="1" t="str">
        <f>IFERROR(__xludf.DUMMYFUNCTION("""COMPUTED_VALUE"""),"new_page")</f>
        <v>new_page</v>
      </c>
      <c r="E1165" s="1">
        <f>IFERROR(__xludf.DUMMYFUNCTION("""COMPUTED_VALUE"""),0.0)</f>
        <v>0</v>
      </c>
    </row>
    <row r="1166">
      <c r="A1166" s="1">
        <f>IFERROR(__xludf.DUMMYFUNCTION("""COMPUTED_VALUE"""),883854.0)</f>
        <v>883854</v>
      </c>
      <c r="B1166" s="2">
        <f>IFERROR(__xludf.DUMMYFUNCTION("""COMPUTED_VALUE"""),42752.13743896528)</f>
        <v>42752.13744</v>
      </c>
      <c r="C1166" s="1" t="str">
        <f>IFERROR(__xludf.DUMMYFUNCTION("""COMPUTED_VALUE"""),"treatment")</f>
        <v>treatment</v>
      </c>
      <c r="D1166" s="1" t="str">
        <f>IFERROR(__xludf.DUMMYFUNCTION("""COMPUTED_VALUE"""),"new_page")</f>
        <v>new_page</v>
      </c>
      <c r="E1166" s="1">
        <f>IFERROR(__xludf.DUMMYFUNCTION("""COMPUTED_VALUE"""),0.0)</f>
        <v>0</v>
      </c>
    </row>
    <row r="1167">
      <c r="A1167" s="1">
        <f>IFERROR(__xludf.DUMMYFUNCTION("""COMPUTED_VALUE"""),844879.0)</f>
        <v>844879</v>
      </c>
      <c r="B1167" s="2">
        <f>IFERROR(__xludf.DUMMYFUNCTION("""COMPUTED_VALUE"""),42738.189414447144)</f>
        <v>42738.18941</v>
      </c>
      <c r="C1167" s="1" t="str">
        <f>IFERROR(__xludf.DUMMYFUNCTION("""COMPUTED_VALUE"""),"treatment")</f>
        <v>treatment</v>
      </c>
      <c r="D1167" s="1" t="str">
        <f>IFERROR(__xludf.DUMMYFUNCTION("""COMPUTED_VALUE"""),"new_page")</f>
        <v>new_page</v>
      </c>
      <c r="E1167" s="1">
        <f>IFERROR(__xludf.DUMMYFUNCTION("""COMPUTED_VALUE"""),0.0)</f>
        <v>0</v>
      </c>
    </row>
    <row r="1168">
      <c r="A1168" s="1">
        <f>IFERROR(__xludf.DUMMYFUNCTION("""COMPUTED_VALUE"""),892368.0)</f>
        <v>892368</v>
      </c>
      <c r="B1168" s="2">
        <f>IFERROR(__xludf.DUMMYFUNCTION("""COMPUTED_VALUE"""),42743.99777151738)</f>
        <v>42743.99777</v>
      </c>
      <c r="C1168" s="1" t="str">
        <f>IFERROR(__xludf.DUMMYFUNCTION("""COMPUTED_VALUE"""),"control")</f>
        <v>control</v>
      </c>
      <c r="D1168" s="1" t="str">
        <f>IFERROR(__xludf.DUMMYFUNCTION("""COMPUTED_VALUE"""),"old_page")</f>
        <v>old_page</v>
      </c>
      <c r="E1168" s="1">
        <f>IFERROR(__xludf.DUMMYFUNCTION("""COMPUTED_VALUE"""),0.0)</f>
        <v>0</v>
      </c>
    </row>
    <row r="1169">
      <c r="A1169" s="1">
        <f>IFERROR(__xludf.DUMMYFUNCTION("""COMPUTED_VALUE"""),929948.0)</f>
        <v>929948</v>
      </c>
      <c r="B1169" s="2">
        <f>IFERROR(__xludf.DUMMYFUNCTION("""COMPUTED_VALUE"""),42750.55712223068)</f>
        <v>42750.55712</v>
      </c>
      <c r="C1169" s="1" t="str">
        <f>IFERROR(__xludf.DUMMYFUNCTION("""COMPUTED_VALUE"""),"treatment")</f>
        <v>treatment</v>
      </c>
      <c r="D1169" s="1" t="str">
        <f>IFERROR(__xludf.DUMMYFUNCTION("""COMPUTED_VALUE"""),"new_page")</f>
        <v>new_page</v>
      </c>
      <c r="E1169" s="1">
        <f>IFERROR(__xludf.DUMMYFUNCTION("""COMPUTED_VALUE"""),0.0)</f>
        <v>0</v>
      </c>
    </row>
    <row r="1170">
      <c r="A1170" s="1">
        <f>IFERROR(__xludf.DUMMYFUNCTION("""COMPUTED_VALUE"""),663168.0)</f>
        <v>663168</v>
      </c>
      <c r="B1170" s="2">
        <f>IFERROR(__xludf.DUMMYFUNCTION("""COMPUTED_VALUE"""),42746.19102796879)</f>
        <v>42746.19103</v>
      </c>
      <c r="C1170" s="1" t="str">
        <f>IFERROR(__xludf.DUMMYFUNCTION("""COMPUTED_VALUE"""),"treatment")</f>
        <v>treatment</v>
      </c>
      <c r="D1170" s="1" t="str">
        <f>IFERROR(__xludf.DUMMYFUNCTION("""COMPUTED_VALUE"""),"new_page")</f>
        <v>new_page</v>
      </c>
      <c r="E1170" s="1">
        <f>IFERROR(__xludf.DUMMYFUNCTION("""COMPUTED_VALUE"""),0.0)</f>
        <v>0</v>
      </c>
    </row>
    <row r="1171">
      <c r="A1171" s="1">
        <f>IFERROR(__xludf.DUMMYFUNCTION("""COMPUTED_VALUE"""),788382.0)</f>
        <v>788382</v>
      </c>
      <c r="B1171" s="2">
        <f>IFERROR(__xludf.DUMMYFUNCTION("""COMPUTED_VALUE"""),42743.08573511756)</f>
        <v>42743.08574</v>
      </c>
      <c r="C1171" s="1" t="str">
        <f>IFERROR(__xludf.DUMMYFUNCTION("""COMPUTED_VALUE"""),"treatment")</f>
        <v>treatment</v>
      </c>
      <c r="D1171" s="1" t="str">
        <f>IFERROR(__xludf.DUMMYFUNCTION("""COMPUTED_VALUE"""),"new_page")</f>
        <v>new_page</v>
      </c>
      <c r="E1171" s="1">
        <f>IFERROR(__xludf.DUMMYFUNCTION("""COMPUTED_VALUE"""),1.0)</f>
        <v>1</v>
      </c>
    </row>
    <row r="1172">
      <c r="A1172" s="1">
        <f>IFERROR(__xludf.DUMMYFUNCTION("""COMPUTED_VALUE"""),724879.0)</f>
        <v>724879</v>
      </c>
      <c r="B1172" s="2">
        <f>IFERROR(__xludf.DUMMYFUNCTION("""COMPUTED_VALUE"""),42749.51175750608)</f>
        <v>42749.51176</v>
      </c>
      <c r="C1172" s="1" t="str">
        <f>IFERROR(__xludf.DUMMYFUNCTION("""COMPUTED_VALUE"""),"treatment")</f>
        <v>treatment</v>
      </c>
      <c r="D1172" s="1" t="str">
        <f>IFERROR(__xludf.DUMMYFUNCTION("""COMPUTED_VALUE"""),"new_page")</f>
        <v>new_page</v>
      </c>
      <c r="E1172" s="1">
        <f>IFERROR(__xludf.DUMMYFUNCTION("""COMPUTED_VALUE"""),0.0)</f>
        <v>0</v>
      </c>
    </row>
    <row r="1173">
      <c r="A1173" s="1">
        <f>IFERROR(__xludf.DUMMYFUNCTION("""COMPUTED_VALUE"""),848134.0)</f>
        <v>848134</v>
      </c>
      <c r="B1173" s="2">
        <f>IFERROR(__xludf.DUMMYFUNCTION("""COMPUTED_VALUE"""),42754.78787479859)</f>
        <v>42754.78787</v>
      </c>
      <c r="C1173" s="1" t="str">
        <f>IFERROR(__xludf.DUMMYFUNCTION("""COMPUTED_VALUE"""),"control")</f>
        <v>control</v>
      </c>
      <c r="D1173" s="1" t="str">
        <f>IFERROR(__xludf.DUMMYFUNCTION("""COMPUTED_VALUE"""),"old_page")</f>
        <v>old_page</v>
      </c>
      <c r="E1173" s="1">
        <f>IFERROR(__xludf.DUMMYFUNCTION("""COMPUTED_VALUE"""),0.0)</f>
        <v>0</v>
      </c>
    </row>
    <row r="1174">
      <c r="A1174" s="1">
        <f>IFERROR(__xludf.DUMMYFUNCTION("""COMPUTED_VALUE"""),632231.0)</f>
        <v>632231</v>
      </c>
      <c r="B1174" s="2">
        <f>IFERROR(__xludf.DUMMYFUNCTION("""COMPUTED_VALUE"""),42743.882865043495)</f>
        <v>42743.88287</v>
      </c>
      <c r="C1174" s="1" t="str">
        <f>IFERROR(__xludf.DUMMYFUNCTION("""COMPUTED_VALUE"""),"control")</f>
        <v>control</v>
      </c>
      <c r="D1174" s="1" t="str">
        <f>IFERROR(__xludf.DUMMYFUNCTION("""COMPUTED_VALUE"""),"old_page")</f>
        <v>old_page</v>
      </c>
      <c r="E1174" s="1">
        <f>IFERROR(__xludf.DUMMYFUNCTION("""COMPUTED_VALUE"""),0.0)</f>
        <v>0</v>
      </c>
    </row>
    <row r="1175">
      <c r="A1175" s="1">
        <f>IFERROR(__xludf.DUMMYFUNCTION("""COMPUTED_VALUE"""),659195.0)</f>
        <v>659195</v>
      </c>
      <c r="B1175" s="2">
        <f>IFERROR(__xludf.DUMMYFUNCTION("""COMPUTED_VALUE"""),42756.34881597392)</f>
        <v>42756.34882</v>
      </c>
      <c r="C1175" s="1" t="str">
        <f>IFERROR(__xludf.DUMMYFUNCTION("""COMPUTED_VALUE"""),"treatment")</f>
        <v>treatment</v>
      </c>
      <c r="D1175" s="1" t="str">
        <f>IFERROR(__xludf.DUMMYFUNCTION("""COMPUTED_VALUE"""),"new_page")</f>
        <v>new_page</v>
      </c>
      <c r="E1175" s="1">
        <f>IFERROR(__xludf.DUMMYFUNCTION("""COMPUTED_VALUE"""),0.0)</f>
        <v>0</v>
      </c>
    </row>
    <row r="1176">
      <c r="A1176" s="1">
        <f>IFERROR(__xludf.DUMMYFUNCTION("""COMPUTED_VALUE"""),888812.0)</f>
        <v>888812</v>
      </c>
      <c r="B1176" s="2">
        <f>IFERROR(__xludf.DUMMYFUNCTION("""COMPUTED_VALUE"""),42751.50707248648)</f>
        <v>42751.50707</v>
      </c>
      <c r="C1176" s="1" t="str">
        <f>IFERROR(__xludf.DUMMYFUNCTION("""COMPUTED_VALUE"""),"control")</f>
        <v>control</v>
      </c>
      <c r="D1176" s="1" t="str">
        <f>IFERROR(__xludf.DUMMYFUNCTION("""COMPUTED_VALUE"""),"old_page")</f>
        <v>old_page</v>
      </c>
      <c r="E1176" s="1">
        <f>IFERROR(__xludf.DUMMYFUNCTION("""COMPUTED_VALUE"""),0.0)</f>
        <v>0</v>
      </c>
    </row>
    <row r="1177">
      <c r="A1177" s="1">
        <f>IFERROR(__xludf.DUMMYFUNCTION("""COMPUTED_VALUE"""),683001.0)</f>
        <v>683001</v>
      </c>
      <c r="B1177" s="2">
        <f>IFERROR(__xludf.DUMMYFUNCTION("""COMPUTED_VALUE"""),42757.491082801236)</f>
        <v>42757.49108</v>
      </c>
      <c r="C1177" s="1" t="str">
        <f>IFERROR(__xludf.DUMMYFUNCTION("""COMPUTED_VALUE"""),"control")</f>
        <v>control</v>
      </c>
      <c r="D1177" s="1" t="str">
        <f>IFERROR(__xludf.DUMMYFUNCTION("""COMPUTED_VALUE"""),"old_page")</f>
        <v>old_page</v>
      </c>
      <c r="E1177" s="1">
        <f>IFERROR(__xludf.DUMMYFUNCTION("""COMPUTED_VALUE"""),1.0)</f>
        <v>1</v>
      </c>
    </row>
    <row r="1178">
      <c r="A1178" s="1">
        <f>IFERROR(__xludf.DUMMYFUNCTION("""COMPUTED_VALUE"""),883298.0)</f>
        <v>883298</v>
      </c>
      <c r="B1178" s="2">
        <f>IFERROR(__xludf.DUMMYFUNCTION("""COMPUTED_VALUE"""),42751.422849479444)</f>
        <v>42751.42285</v>
      </c>
      <c r="C1178" s="1" t="str">
        <f>IFERROR(__xludf.DUMMYFUNCTION("""COMPUTED_VALUE"""),"control")</f>
        <v>control</v>
      </c>
      <c r="D1178" s="1" t="str">
        <f>IFERROR(__xludf.DUMMYFUNCTION("""COMPUTED_VALUE"""),"old_page")</f>
        <v>old_page</v>
      </c>
      <c r="E1178" s="1">
        <f>IFERROR(__xludf.DUMMYFUNCTION("""COMPUTED_VALUE"""),0.0)</f>
        <v>0</v>
      </c>
    </row>
    <row r="1179">
      <c r="A1179" s="1">
        <f>IFERROR(__xludf.DUMMYFUNCTION("""COMPUTED_VALUE"""),651511.0)</f>
        <v>651511</v>
      </c>
      <c r="B1179" s="2">
        <f>IFERROR(__xludf.DUMMYFUNCTION("""COMPUTED_VALUE"""),42747.983865262926)</f>
        <v>42747.98387</v>
      </c>
      <c r="C1179" s="1" t="str">
        <f>IFERROR(__xludf.DUMMYFUNCTION("""COMPUTED_VALUE"""),"treatment")</f>
        <v>treatment</v>
      </c>
      <c r="D1179" s="1" t="str">
        <f>IFERROR(__xludf.DUMMYFUNCTION("""COMPUTED_VALUE"""),"new_page")</f>
        <v>new_page</v>
      </c>
      <c r="E1179" s="1">
        <f>IFERROR(__xludf.DUMMYFUNCTION("""COMPUTED_VALUE"""),0.0)</f>
        <v>0</v>
      </c>
    </row>
    <row r="1180">
      <c r="A1180" s="1">
        <f>IFERROR(__xludf.DUMMYFUNCTION("""COMPUTED_VALUE"""),746270.0)</f>
        <v>746270</v>
      </c>
      <c r="B1180" s="2">
        <f>IFERROR(__xludf.DUMMYFUNCTION("""COMPUTED_VALUE"""),42752.575690438855)</f>
        <v>42752.57569</v>
      </c>
      <c r="C1180" s="1" t="str">
        <f>IFERROR(__xludf.DUMMYFUNCTION("""COMPUTED_VALUE"""),"control")</f>
        <v>control</v>
      </c>
      <c r="D1180" s="1" t="str">
        <f>IFERROR(__xludf.DUMMYFUNCTION("""COMPUTED_VALUE"""),"old_page")</f>
        <v>old_page</v>
      </c>
      <c r="E1180" s="1">
        <f>IFERROR(__xludf.DUMMYFUNCTION("""COMPUTED_VALUE"""),0.0)</f>
        <v>0</v>
      </c>
    </row>
    <row r="1181">
      <c r="A1181" s="1">
        <f>IFERROR(__xludf.DUMMYFUNCTION("""COMPUTED_VALUE"""),650721.0)</f>
        <v>650721</v>
      </c>
      <c r="B1181" s="2">
        <f>IFERROR(__xludf.DUMMYFUNCTION("""COMPUTED_VALUE"""),42751.37372639552)</f>
        <v>42751.37373</v>
      </c>
      <c r="C1181" s="1" t="str">
        <f>IFERROR(__xludf.DUMMYFUNCTION("""COMPUTED_VALUE"""),"treatment")</f>
        <v>treatment</v>
      </c>
      <c r="D1181" s="1" t="str">
        <f>IFERROR(__xludf.DUMMYFUNCTION("""COMPUTED_VALUE"""),"new_page")</f>
        <v>new_page</v>
      </c>
      <c r="E1181" s="1">
        <f>IFERROR(__xludf.DUMMYFUNCTION("""COMPUTED_VALUE"""),1.0)</f>
        <v>1</v>
      </c>
    </row>
    <row r="1182">
      <c r="A1182" s="1">
        <f>IFERROR(__xludf.DUMMYFUNCTION("""COMPUTED_VALUE"""),837277.0)</f>
        <v>837277</v>
      </c>
      <c r="B1182" s="2">
        <f>IFERROR(__xludf.DUMMYFUNCTION("""COMPUTED_VALUE"""),42749.314138907816)</f>
        <v>42749.31414</v>
      </c>
      <c r="C1182" s="1" t="str">
        <f>IFERROR(__xludf.DUMMYFUNCTION("""COMPUTED_VALUE"""),"treatment")</f>
        <v>treatment</v>
      </c>
      <c r="D1182" s="1" t="str">
        <f>IFERROR(__xludf.DUMMYFUNCTION("""COMPUTED_VALUE"""),"new_page")</f>
        <v>new_page</v>
      </c>
      <c r="E1182" s="1">
        <f>IFERROR(__xludf.DUMMYFUNCTION("""COMPUTED_VALUE"""),0.0)</f>
        <v>0</v>
      </c>
    </row>
    <row r="1183">
      <c r="A1183" s="1">
        <f>IFERROR(__xludf.DUMMYFUNCTION("""COMPUTED_VALUE"""),708578.0)</f>
        <v>708578</v>
      </c>
      <c r="B1183" s="2">
        <f>IFERROR(__xludf.DUMMYFUNCTION("""COMPUTED_VALUE"""),42758.323390465775)</f>
        <v>42758.32339</v>
      </c>
      <c r="C1183" s="1" t="str">
        <f>IFERROR(__xludf.DUMMYFUNCTION("""COMPUTED_VALUE"""),"control")</f>
        <v>control</v>
      </c>
      <c r="D1183" s="1" t="str">
        <f>IFERROR(__xludf.DUMMYFUNCTION("""COMPUTED_VALUE"""),"old_page")</f>
        <v>old_page</v>
      </c>
      <c r="E1183" s="1">
        <f>IFERROR(__xludf.DUMMYFUNCTION("""COMPUTED_VALUE"""),0.0)</f>
        <v>0</v>
      </c>
    </row>
    <row r="1184">
      <c r="A1184" s="1">
        <f>IFERROR(__xludf.DUMMYFUNCTION("""COMPUTED_VALUE"""),651253.0)</f>
        <v>651253</v>
      </c>
      <c r="B1184" s="2">
        <f>IFERROR(__xludf.DUMMYFUNCTION("""COMPUTED_VALUE"""),42749.67794570894)</f>
        <v>42749.67795</v>
      </c>
      <c r="C1184" s="1" t="str">
        <f>IFERROR(__xludf.DUMMYFUNCTION("""COMPUTED_VALUE"""),"treatment")</f>
        <v>treatment</v>
      </c>
      <c r="D1184" s="1" t="str">
        <f>IFERROR(__xludf.DUMMYFUNCTION("""COMPUTED_VALUE"""),"new_page")</f>
        <v>new_page</v>
      </c>
      <c r="E1184" s="1">
        <f>IFERROR(__xludf.DUMMYFUNCTION("""COMPUTED_VALUE"""),0.0)</f>
        <v>0</v>
      </c>
    </row>
    <row r="1185">
      <c r="A1185" s="1">
        <f>IFERROR(__xludf.DUMMYFUNCTION("""COMPUTED_VALUE"""),649163.0)</f>
        <v>649163</v>
      </c>
      <c r="B1185" s="2">
        <f>IFERROR(__xludf.DUMMYFUNCTION("""COMPUTED_VALUE"""),42757.025844752396)</f>
        <v>42757.02584</v>
      </c>
      <c r="C1185" s="1" t="str">
        <f>IFERROR(__xludf.DUMMYFUNCTION("""COMPUTED_VALUE"""),"control")</f>
        <v>control</v>
      </c>
      <c r="D1185" s="1" t="str">
        <f>IFERROR(__xludf.DUMMYFUNCTION("""COMPUTED_VALUE"""),"old_page")</f>
        <v>old_page</v>
      </c>
      <c r="E1185" s="1">
        <f>IFERROR(__xludf.DUMMYFUNCTION("""COMPUTED_VALUE"""),0.0)</f>
        <v>0</v>
      </c>
    </row>
    <row r="1186">
      <c r="A1186" s="1">
        <f>IFERROR(__xludf.DUMMYFUNCTION("""COMPUTED_VALUE"""),656546.0)</f>
        <v>656546</v>
      </c>
      <c r="B1186" s="2">
        <f>IFERROR(__xludf.DUMMYFUNCTION("""COMPUTED_VALUE"""),42751.33108692492)</f>
        <v>42751.33109</v>
      </c>
      <c r="C1186" s="1" t="str">
        <f>IFERROR(__xludf.DUMMYFUNCTION("""COMPUTED_VALUE"""),"control")</f>
        <v>control</v>
      </c>
      <c r="D1186" s="1" t="str">
        <f>IFERROR(__xludf.DUMMYFUNCTION("""COMPUTED_VALUE"""),"old_page")</f>
        <v>old_page</v>
      </c>
      <c r="E1186" s="1">
        <f>IFERROR(__xludf.DUMMYFUNCTION("""COMPUTED_VALUE"""),0.0)</f>
        <v>0</v>
      </c>
    </row>
    <row r="1187">
      <c r="A1187" s="1">
        <f>IFERROR(__xludf.DUMMYFUNCTION("""COMPUTED_VALUE"""),900814.0)</f>
        <v>900814</v>
      </c>
      <c r="B1187" s="2">
        <f>IFERROR(__xludf.DUMMYFUNCTION("""COMPUTED_VALUE"""),42750.89702266145)</f>
        <v>42750.89702</v>
      </c>
      <c r="C1187" s="1" t="str">
        <f>IFERROR(__xludf.DUMMYFUNCTION("""COMPUTED_VALUE"""),"treatment")</f>
        <v>treatment</v>
      </c>
      <c r="D1187" s="1" t="str">
        <f>IFERROR(__xludf.DUMMYFUNCTION("""COMPUTED_VALUE"""),"new_page")</f>
        <v>new_page</v>
      </c>
      <c r="E1187" s="1">
        <f>IFERROR(__xludf.DUMMYFUNCTION("""COMPUTED_VALUE"""),1.0)</f>
        <v>1</v>
      </c>
    </row>
    <row r="1188">
      <c r="A1188" s="1">
        <f>IFERROR(__xludf.DUMMYFUNCTION("""COMPUTED_VALUE"""),831398.0)</f>
        <v>831398</v>
      </c>
      <c r="B1188" s="2">
        <f>IFERROR(__xludf.DUMMYFUNCTION("""COMPUTED_VALUE"""),42739.92313489064)</f>
        <v>42739.92313</v>
      </c>
      <c r="C1188" s="1" t="str">
        <f>IFERROR(__xludf.DUMMYFUNCTION("""COMPUTED_VALUE"""),"control")</f>
        <v>control</v>
      </c>
      <c r="D1188" s="1" t="str">
        <f>IFERROR(__xludf.DUMMYFUNCTION("""COMPUTED_VALUE"""),"old_page")</f>
        <v>old_page</v>
      </c>
      <c r="E1188" s="1">
        <f>IFERROR(__xludf.DUMMYFUNCTION("""COMPUTED_VALUE"""),0.0)</f>
        <v>0</v>
      </c>
    </row>
    <row r="1189">
      <c r="A1189" s="1">
        <f>IFERROR(__xludf.DUMMYFUNCTION("""COMPUTED_VALUE"""),866854.0)</f>
        <v>866854</v>
      </c>
      <c r="B1189" s="2">
        <f>IFERROR(__xludf.DUMMYFUNCTION("""COMPUTED_VALUE"""),42740.598879323865)</f>
        <v>42740.59888</v>
      </c>
      <c r="C1189" s="1" t="str">
        <f>IFERROR(__xludf.DUMMYFUNCTION("""COMPUTED_VALUE"""),"control")</f>
        <v>control</v>
      </c>
      <c r="D1189" s="1" t="str">
        <f>IFERROR(__xludf.DUMMYFUNCTION("""COMPUTED_VALUE"""),"old_page")</f>
        <v>old_page</v>
      </c>
      <c r="E1189" s="1">
        <f>IFERROR(__xludf.DUMMYFUNCTION("""COMPUTED_VALUE"""),0.0)</f>
        <v>0</v>
      </c>
    </row>
    <row r="1190">
      <c r="A1190" s="1">
        <f>IFERROR(__xludf.DUMMYFUNCTION("""COMPUTED_VALUE"""),862772.0)</f>
        <v>862772</v>
      </c>
      <c r="B1190" s="2">
        <f>IFERROR(__xludf.DUMMYFUNCTION("""COMPUTED_VALUE"""),42751.838060621725)</f>
        <v>42751.83806</v>
      </c>
      <c r="C1190" s="1" t="str">
        <f>IFERROR(__xludf.DUMMYFUNCTION("""COMPUTED_VALUE"""),"control")</f>
        <v>control</v>
      </c>
      <c r="D1190" s="1" t="str">
        <f>IFERROR(__xludf.DUMMYFUNCTION("""COMPUTED_VALUE"""),"old_page")</f>
        <v>old_page</v>
      </c>
      <c r="E1190" s="1">
        <f>IFERROR(__xludf.DUMMYFUNCTION("""COMPUTED_VALUE"""),0.0)</f>
        <v>0</v>
      </c>
    </row>
    <row r="1191">
      <c r="A1191" s="1">
        <f>IFERROR(__xludf.DUMMYFUNCTION("""COMPUTED_VALUE"""),682658.0)</f>
        <v>682658</v>
      </c>
      <c r="B1191" s="2">
        <f>IFERROR(__xludf.DUMMYFUNCTION("""COMPUTED_VALUE"""),42743.211126699964)</f>
        <v>42743.21113</v>
      </c>
      <c r="C1191" s="1" t="str">
        <f>IFERROR(__xludf.DUMMYFUNCTION("""COMPUTED_VALUE"""),"control")</f>
        <v>control</v>
      </c>
      <c r="D1191" s="1" t="str">
        <f>IFERROR(__xludf.DUMMYFUNCTION("""COMPUTED_VALUE"""),"old_page")</f>
        <v>old_page</v>
      </c>
      <c r="E1191" s="1">
        <f>IFERROR(__xludf.DUMMYFUNCTION("""COMPUTED_VALUE"""),0.0)</f>
        <v>0</v>
      </c>
    </row>
    <row r="1192">
      <c r="A1192" s="1">
        <f>IFERROR(__xludf.DUMMYFUNCTION("""COMPUTED_VALUE"""),660028.0)</f>
        <v>660028</v>
      </c>
      <c r="B1192" s="2">
        <f>IFERROR(__xludf.DUMMYFUNCTION("""COMPUTED_VALUE"""),42756.1598149959)</f>
        <v>42756.15981</v>
      </c>
      <c r="C1192" s="1" t="str">
        <f>IFERROR(__xludf.DUMMYFUNCTION("""COMPUTED_VALUE"""),"control")</f>
        <v>control</v>
      </c>
      <c r="D1192" s="1" t="str">
        <f>IFERROR(__xludf.DUMMYFUNCTION("""COMPUTED_VALUE"""),"old_page")</f>
        <v>old_page</v>
      </c>
      <c r="E1192" s="1">
        <f>IFERROR(__xludf.DUMMYFUNCTION("""COMPUTED_VALUE"""),0.0)</f>
        <v>0</v>
      </c>
    </row>
    <row r="1193">
      <c r="A1193" s="1">
        <f>IFERROR(__xludf.DUMMYFUNCTION("""COMPUTED_VALUE"""),645635.0)</f>
        <v>645635</v>
      </c>
      <c r="B1193" s="2">
        <f>IFERROR(__xludf.DUMMYFUNCTION("""COMPUTED_VALUE"""),42738.84437582037)</f>
        <v>42738.84438</v>
      </c>
      <c r="C1193" s="1" t="str">
        <f>IFERROR(__xludf.DUMMYFUNCTION("""COMPUTED_VALUE"""),"treatment")</f>
        <v>treatment</v>
      </c>
      <c r="D1193" s="1" t="str">
        <f>IFERROR(__xludf.DUMMYFUNCTION("""COMPUTED_VALUE"""),"new_page")</f>
        <v>new_page</v>
      </c>
      <c r="E1193" s="1">
        <f>IFERROR(__xludf.DUMMYFUNCTION("""COMPUTED_VALUE"""),0.0)</f>
        <v>0</v>
      </c>
    </row>
    <row r="1194">
      <c r="A1194" s="1">
        <f>IFERROR(__xludf.DUMMYFUNCTION("""COMPUTED_VALUE"""),800626.0)</f>
        <v>800626</v>
      </c>
      <c r="B1194" s="2">
        <f>IFERROR(__xludf.DUMMYFUNCTION("""COMPUTED_VALUE"""),42737.68359029618)</f>
        <v>42737.68359</v>
      </c>
      <c r="C1194" s="1" t="str">
        <f>IFERROR(__xludf.DUMMYFUNCTION("""COMPUTED_VALUE"""),"treatment")</f>
        <v>treatment</v>
      </c>
      <c r="D1194" s="1" t="str">
        <f>IFERROR(__xludf.DUMMYFUNCTION("""COMPUTED_VALUE"""),"new_page")</f>
        <v>new_page</v>
      </c>
      <c r="E1194" s="1">
        <f>IFERROR(__xludf.DUMMYFUNCTION("""COMPUTED_VALUE"""),0.0)</f>
        <v>0</v>
      </c>
    </row>
    <row r="1195">
      <c r="A1195" s="1">
        <f>IFERROR(__xludf.DUMMYFUNCTION("""COMPUTED_VALUE"""),742213.0)</f>
        <v>742213</v>
      </c>
      <c r="B1195" s="2">
        <f>IFERROR(__xludf.DUMMYFUNCTION("""COMPUTED_VALUE"""),42753.42074643723)</f>
        <v>42753.42075</v>
      </c>
      <c r="C1195" s="1" t="str">
        <f>IFERROR(__xludf.DUMMYFUNCTION("""COMPUTED_VALUE"""),"treatment")</f>
        <v>treatment</v>
      </c>
      <c r="D1195" s="1" t="str">
        <f>IFERROR(__xludf.DUMMYFUNCTION("""COMPUTED_VALUE"""),"new_page")</f>
        <v>new_page</v>
      </c>
      <c r="E1195" s="1">
        <f>IFERROR(__xludf.DUMMYFUNCTION("""COMPUTED_VALUE"""),0.0)</f>
        <v>0</v>
      </c>
    </row>
    <row r="1196">
      <c r="A1196" s="1">
        <f>IFERROR(__xludf.DUMMYFUNCTION("""COMPUTED_VALUE"""),752596.0)</f>
        <v>752596</v>
      </c>
      <c r="B1196" s="2">
        <f>IFERROR(__xludf.DUMMYFUNCTION("""COMPUTED_VALUE"""),42747.778987526166)</f>
        <v>42747.77899</v>
      </c>
      <c r="C1196" s="1" t="str">
        <f>IFERROR(__xludf.DUMMYFUNCTION("""COMPUTED_VALUE"""),"control")</f>
        <v>control</v>
      </c>
      <c r="D1196" s="1" t="str">
        <f>IFERROR(__xludf.DUMMYFUNCTION("""COMPUTED_VALUE"""),"old_page")</f>
        <v>old_page</v>
      </c>
      <c r="E1196" s="1">
        <f>IFERROR(__xludf.DUMMYFUNCTION("""COMPUTED_VALUE"""),0.0)</f>
        <v>0</v>
      </c>
    </row>
    <row r="1197">
      <c r="A1197" s="1">
        <f>IFERROR(__xludf.DUMMYFUNCTION("""COMPUTED_VALUE"""),703806.0)</f>
        <v>703806</v>
      </c>
      <c r="B1197" s="2">
        <f>IFERROR(__xludf.DUMMYFUNCTION("""COMPUTED_VALUE"""),42752.06052666263)</f>
        <v>42752.06053</v>
      </c>
      <c r="C1197" s="1" t="str">
        <f>IFERROR(__xludf.DUMMYFUNCTION("""COMPUTED_VALUE"""),"treatment")</f>
        <v>treatment</v>
      </c>
      <c r="D1197" s="1" t="str">
        <f>IFERROR(__xludf.DUMMYFUNCTION("""COMPUTED_VALUE"""),"new_page")</f>
        <v>new_page</v>
      </c>
      <c r="E1197" s="1">
        <f>IFERROR(__xludf.DUMMYFUNCTION("""COMPUTED_VALUE"""),0.0)</f>
        <v>0</v>
      </c>
    </row>
    <row r="1198">
      <c r="A1198" s="1">
        <f>IFERROR(__xludf.DUMMYFUNCTION("""COMPUTED_VALUE"""),940088.0)</f>
        <v>940088</v>
      </c>
      <c r="B1198" s="2">
        <f>IFERROR(__xludf.DUMMYFUNCTION("""COMPUTED_VALUE"""),42756.527716116514)</f>
        <v>42756.52772</v>
      </c>
      <c r="C1198" s="1" t="str">
        <f>IFERROR(__xludf.DUMMYFUNCTION("""COMPUTED_VALUE"""),"control")</f>
        <v>control</v>
      </c>
      <c r="D1198" s="1" t="str">
        <f>IFERROR(__xludf.DUMMYFUNCTION("""COMPUTED_VALUE"""),"old_page")</f>
        <v>old_page</v>
      </c>
      <c r="E1198" s="1">
        <f>IFERROR(__xludf.DUMMYFUNCTION("""COMPUTED_VALUE"""),0.0)</f>
        <v>0</v>
      </c>
    </row>
    <row r="1199">
      <c r="A1199" s="1">
        <f>IFERROR(__xludf.DUMMYFUNCTION("""COMPUTED_VALUE"""),724598.0)</f>
        <v>724598</v>
      </c>
      <c r="B1199" s="2">
        <f>IFERROR(__xludf.DUMMYFUNCTION("""COMPUTED_VALUE"""),42756.829041560115)</f>
        <v>42756.82904</v>
      </c>
      <c r="C1199" s="1" t="str">
        <f>IFERROR(__xludf.DUMMYFUNCTION("""COMPUTED_VALUE"""),"treatment")</f>
        <v>treatment</v>
      </c>
      <c r="D1199" s="1" t="str">
        <f>IFERROR(__xludf.DUMMYFUNCTION("""COMPUTED_VALUE"""),"new_page")</f>
        <v>new_page</v>
      </c>
      <c r="E1199" s="1">
        <f>IFERROR(__xludf.DUMMYFUNCTION("""COMPUTED_VALUE"""),0.0)</f>
        <v>0</v>
      </c>
    </row>
    <row r="1200">
      <c r="A1200" s="1">
        <f>IFERROR(__xludf.DUMMYFUNCTION("""COMPUTED_VALUE"""),646342.0)</f>
        <v>646342</v>
      </c>
      <c r="B1200" s="2">
        <f>IFERROR(__xludf.DUMMYFUNCTION("""COMPUTED_VALUE"""),42741.777355148115)</f>
        <v>42741.77736</v>
      </c>
      <c r="C1200" s="1" t="str">
        <f>IFERROR(__xludf.DUMMYFUNCTION("""COMPUTED_VALUE"""),"control")</f>
        <v>control</v>
      </c>
      <c r="D1200" s="1" t="str">
        <f>IFERROR(__xludf.DUMMYFUNCTION("""COMPUTED_VALUE"""),"new_page")</f>
        <v>new_page</v>
      </c>
      <c r="E1200" s="1">
        <f>IFERROR(__xludf.DUMMYFUNCTION("""COMPUTED_VALUE"""),0.0)</f>
        <v>0</v>
      </c>
    </row>
    <row r="1201">
      <c r="A1201" s="1">
        <f>IFERROR(__xludf.DUMMYFUNCTION("""COMPUTED_VALUE"""),932107.0)</f>
        <v>932107</v>
      </c>
      <c r="B1201" s="2">
        <f>IFERROR(__xludf.DUMMYFUNCTION("""COMPUTED_VALUE"""),42758.10463950982)</f>
        <v>42758.10464</v>
      </c>
      <c r="C1201" s="1" t="str">
        <f>IFERROR(__xludf.DUMMYFUNCTION("""COMPUTED_VALUE"""),"control")</f>
        <v>control</v>
      </c>
      <c r="D1201" s="1" t="str">
        <f>IFERROR(__xludf.DUMMYFUNCTION("""COMPUTED_VALUE"""),"old_page")</f>
        <v>old_page</v>
      </c>
      <c r="E1201" s="1">
        <f>IFERROR(__xludf.DUMMYFUNCTION("""COMPUTED_VALUE"""),0.0)</f>
        <v>0</v>
      </c>
    </row>
    <row r="1202">
      <c r="A1202" s="1">
        <f>IFERROR(__xludf.DUMMYFUNCTION("""COMPUTED_VALUE"""),671171.0)</f>
        <v>671171</v>
      </c>
      <c r="B1202" s="2">
        <f>IFERROR(__xludf.DUMMYFUNCTION("""COMPUTED_VALUE"""),42753.59674813195)</f>
        <v>42753.59675</v>
      </c>
      <c r="C1202" s="1" t="str">
        <f>IFERROR(__xludf.DUMMYFUNCTION("""COMPUTED_VALUE"""),"control")</f>
        <v>control</v>
      </c>
      <c r="D1202" s="1" t="str">
        <f>IFERROR(__xludf.DUMMYFUNCTION("""COMPUTED_VALUE"""),"old_page")</f>
        <v>old_page</v>
      </c>
      <c r="E1202" s="1">
        <f>IFERROR(__xludf.DUMMYFUNCTION("""COMPUTED_VALUE"""),0.0)</f>
        <v>0</v>
      </c>
    </row>
    <row r="1203">
      <c r="A1203" s="1">
        <f>IFERROR(__xludf.DUMMYFUNCTION("""COMPUTED_VALUE"""),936436.0)</f>
        <v>936436</v>
      </c>
      <c r="B1203" s="2">
        <f>IFERROR(__xludf.DUMMYFUNCTION("""COMPUTED_VALUE"""),42756.23699262609)</f>
        <v>42756.23699</v>
      </c>
      <c r="C1203" s="1" t="str">
        <f>IFERROR(__xludf.DUMMYFUNCTION("""COMPUTED_VALUE"""),"control")</f>
        <v>control</v>
      </c>
      <c r="D1203" s="1" t="str">
        <f>IFERROR(__xludf.DUMMYFUNCTION("""COMPUTED_VALUE"""),"old_page")</f>
        <v>old_page</v>
      </c>
      <c r="E1203" s="1">
        <f>IFERROR(__xludf.DUMMYFUNCTION("""COMPUTED_VALUE"""),0.0)</f>
        <v>0</v>
      </c>
    </row>
    <row r="1204">
      <c r="A1204" s="1">
        <f>IFERROR(__xludf.DUMMYFUNCTION("""COMPUTED_VALUE"""),803518.0)</f>
        <v>803518</v>
      </c>
      <c r="B1204" s="2">
        <f>IFERROR(__xludf.DUMMYFUNCTION("""COMPUTED_VALUE"""),42750.34590226723)</f>
        <v>42750.3459</v>
      </c>
      <c r="C1204" s="1" t="str">
        <f>IFERROR(__xludf.DUMMYFUNCTION("""COMPUTED_VALUE"""),"control")</f>
        <v>control</v>
      </c>
      <c r="D1204" s="1" t="str">
        <f>IFERROR(__xludf.DUMMYFUNCTION("""COMPUTED_VALUE"""),"old_page")</f>
        <v>old_page</v>
      </c>
      <c r="E1204" s="1">
        <f>IFERROR(__xludf.DUMMYFUNCTION("""COMPUTED_VALUE"""),1.0)</f>
        <v>1</v>
      </c>
    </row>
    <row r="1205">
      <c r="A1205" s="1">
        <f>IFERROR(__xludf.DUMMYFUNCTION("""COMPUTED_VALUE"""),808265.0)</f>
        <v>808265</v>
      </c>
      <c r="B1205" s="2">
        <f>IFERROR(__xludf.DUMMYFUNCTION("""COMPUTED_VALUE"""),42743.290117377604)</f>
        <v>42743.29012</v>
      </c>
      <c r="C1205" s="1" t="str">
        <f>IFERROR(__xludf.DUMMYFUNCTION("""COMPUTED_VALUE"""),"control")</f>
        <v>control</v>
      </c>
      <c r="D1205" s="1" t="str">
        <f>IFERROR(__xludf.DUMMYFUNCTION("""COMPUTED_VALUE"""),"old_page")</f>
        <v>old_page</v>
      </c>
      <c r="E1205" s="1">
        <f>IFERROR(__xludf.DUMMYFUNCTION("""COMPUTED_VALUE"""),0.0)</f>
        <v>0</v>
      </c>
    </row>
    <row r="1206">
      <c r="A1206" s="1">
        <f>IFERROR(__xludf.DUMMYFUNCTION("""COMPUTED_VALUE"""),844067.0)</f>
        <v>844067</v>
      </c>
      <c r="B1206" s="2">
        <f>IFERROR(__xludf.DUMMYFUNCTION("""COMPUTED_VALUE"""),42750.29122630757)</f>
        <v>42750.29123</v>
      </c>
      <c r="C1206" s="1" t="str">
        <f>IFERROR(__xludf.DUMMYFUNCTION("""COMPUTED_VALUE"""),"treatment")</f>
        <v>treatment</v>
      </c>
      <c r="D1206" s="1" t="str">
        <f>IFERROR(__xludf.DUMMYFUNCTION("""COMPUTED_VALUE"""),"new_page")</f>
        <v>new_page</v>
      </c>
      <c r="E1206" s="1">
        <f>IFERROR(__xludf.DUMMYFUNCTION("""COMPUTED_VALUE"""),0.0)</f>
        <v>0</v>
      </c>
    </row>
    <row r="1207">
      <c r="A1207" s="1">
        <f>IFERROR(__xludf.DUMMYFUNCTION("""COMPUTED_VALUE"""),767058.0)</f>
        <v>767058</v>
      </c>
      <c r="B1207" s="2">
        <f>IFERROR(__xludf.DUMMYFUNCTION("""COMPUTED_VALUE"""),42752.78678469846)</f>
        <v>42752.78678</v>
      </c>
      <c r="C1207" s="1" t="str">
        <f>IFERROR(__xludf.DUMMYFUNCTION("""COMPUTED_VALUE"""),"treatment")</f>
        <v>treatment</v>
      </c>
      <c r="D1207" s="1" t="str">
        <f>IFERROR(__xludf.DUMMYFUNCTION("""COMPUTED_VALUE"""),"new_page")</f>
        <v>new_page</v>
      </c>
      <c r="E1207" s="1">
        <f>IFERROR(__xludf.DUMMYFUNCTION("""COMPUTED_VALUE"""),0.0)</f>
        <v>0</v>
      </c>
    </row>
    <row r="1208">
      <c r="A1208" s="1">
        <f>IFERROR(__xludf.DUMMYFUNCTION("""COMPUTED_VALUE"""),900093.0)</f>
        <v>900093</v>
      </c>
      <c r="B1208" s="2">
        <f>IFERROR(__xludf.DUMMYFUNCTION("""COMPUTED_VALUE"""),42748.78431737955)</f>
        <v>42748.78432</v>
      </c>
      <c r="C1208" s="1" t="str">
        <f>IFERROR(__xludf.DUMMYFUNCTION("""COMPUTED_VALUE"""),"treatment")</f>
        <v>treatment</v>
      </c>
      <c r="D1208" s="1" t="str">
        <f>IFERROR(__xludf.DUMMYFUNCTION("""COMPUTED_VALUE"""),"new_page")</f>
        <v>new_page</v>
      </c>
      <c r="E1208" s="1">
        <f>IFERROR(__xludf.DUMMYFUNCTION("""COMPUTED_VALUE"""),0.0)</f>
        <v>0</v>
      </c>
    </row>
    <row r="1209">
      <c r="A1209" s="1">
        <f>IFERROR(__xludf.DUMMYFUNCTION("""COMPUTED_VALUE"""),650463.0)</f>
        <v>650463</v>
      </c>
      <c r="B1209" s="2">
        <f>IFERROR(__xludf.DUMMYFUNCTION("""COMPUTED_VALUE"""),42748.444425840935)</f>
        <v>42748.44443</v>
      </c>
      <c r="C1209" s="1" t="str">
        <f>IFERROR(__xludf.DUMMYFUNCTION("""COMPUTED_VALUE"""),"treatment")</f>
        <v>treatment</v>
      </c>
      <c r="D1209" s="1" t="str">
        <f>IFERROR(__xludf.DUMMYFUNCTION("""COMPUTED_VALUE"""),"new_page")</f>
        <v>new_page</v>
      </c>
      <c r="E1209" s="1">
        <f>IFERROR(__xludf.DUMMYFUNCTION("""COMPUTED_VALUE"""),0.0)</f>
        <v>0</v>
      </c>
    </row>
    <row r="1210">
      <c r="A1210" s="1">
        <f>IFERROR(__xludf.DUMMYFUNCTION("""COMPUTED_VALUE"""),811542.0)</f>
        <v>811542</v>
      </c>
      <c r="B1210" s="2">
        <f>IFERROR(__xludf.DUMMYFUNCTION("""COMPUTED_VALUE"""),42738.22842220371)</f>
        <v>42738.22842</v>
      </c>
      <c r="C1210" s="1" t="str">
        <f>IFERROR(__xludf.DUMMYFUNCTION("""COMPUTED_VALUE"""),"control")</f>
        <v>control</v>
      </c>
      <c r="D1210" s="1" t="str">
        <f>IFERROR(__xludf.DUMMYFUNCTION("""COMPUTED_VALUE"""),"old_page")</f>
        <v>old_page</v>
      </c>
      <c r="E1210" s="1">
        <f>IFERROR(__xludf.DUMMYFUNCTION("""COMPUTED_VALUE"""),1.0)</f>
        <v>1</v>
      </c>
    </row>
    <row r="1211">
      <c r="A1211" s="1">
        <f>IFERROR(__xludf.DUMMYFUNCTION("""COMPUTED_VALUE"""),833449.0)</f>
        <v>833449</v>
      </c>
      <c r="B1211" s="2">
        <f>IFERROR(__xludf.DUMMYFUNCTION("""COMPUTED_VALUE"""),42743.98143711063)</f>
        <v>42743.98144</v>
      </c>
      <c r="C1211" s="1" t="str">
        <f>IFERROR(__xludf.DUMMYFUNCTION("""COMPUTED_VALUE"""),"treatment")</f>
        <v>treatment</v>
      </c>
      <c r="D1211" s="1" t="str">
        <f>IFERROR(__xludf.DUMMYFUNCTION("""COMPUTED_VALUE"""),"new_page")</f>
        <v>new_page</v>
      </c>
      <c r="E1211" s="1">
        <f>IFERROR(__xludf.DUMMYFUNCTION("""COMPUTED_VALUE"""),0.0)</f>
        <v>0</v>
      </c>
    </row>
    <row r="1212">
      <c r="A1212" s="1">
        <f>IFERROR(__xludf.DUMMYFUNCTION("""COMPUTED_VALUE"""),809781.0)</f>
        <v>809781</v>
      </c>
      <c r="B1212" s="2">
        <f>IFERROR(__xludf.DUMMYFUNCTION("""COMPUTED_VALUE"""),42742.79744511478)</f>
        <v>42742.79745</v>
      </c>
      <c r="C1212" s="1" t="str">
        <f>IFERROR(__xludf.DUMMYFUNCTION("""COMPUTED_VALUE"""),"control")</f>
        <v>control</v>
      </c>
      <c r="D1212" s="1" t="str">
        <f>IFERROR(__xludf.DUMMYFUNCTION("""COMPUTED_VALUE"""),"old_page")</f>
        <v>old_page</v>
      </c>
      <c r="E1212" s="1">
        <f>IFERROR(__xludf.DUMMYFUNCTION("""COMPUTED_VALUE"""),0.0)</f>
        <v>0</v>
      </c>
    </row>
    <row r="1213">
      <c r="A1213" s="1">
        <f>IFERROR(__xludf.DUMMYFUNCTION("""COMPUTED_VALUE"""),671839.0)</f>
        <v>671839</v>
      </c>
      <c r="B1213" s="2">
        <f>IFERROR(__xludf.DUMMYFUNCTION("""COMPUTED_VALUE"""),42748.49118201516)</f>
        <v>42748.49118</v>
      </c>
      <c r="C1213" s="1" t="str">
        <f>IFERROR(__xludf.DUMMYFUNCTION("""COMPUTED_VALUE"""),"treatment")</f>
        <v>treatment</v>
      </c>
      <c r="D1213" s="1" t="str">
        <f>IFERROR(__xludf.DUMMYFUNCTION("""COMPUTED_VALUE"""),"new_page")</f>
        <v>new_page</v>
      </c>
      <c r="E1213" s="1">
        <f>IFERROR(__xludf.DUMMYFUNCTION("""COMPUTED_VALUE"""),0.0)</f>
        <v>0</v>
      </c>
    </row>
    <row r="1214">
      <c r="A1214" s="1">
        <f>IFERROR(__xludf.DUMMYFUNCTION("""COMPUTED_VALUE"""),912997.0)</f>
        <v>912997</v>
      </c>
      <c r="B1214" s="2">
        <f>IFERROR(__xludf.DUMMYFUNCTION("""COMPUTED_VALUE"""),42749.60213439987)</f>
        <v>42749.60213</v>
      </c>
      <c r="C1214" s="1" t="str">
        <f>IFERROR(__xludf.DUMMYFUNCTION("""COMPUTED_VALUE"""),"control")</f>
        <v>control</v>
      </c>
      <c r="D1214" s="1" t="str">
        <f>IFERROR(__xludf.DUMMYFUNCTION("""COMPUTED_VALUE"""),"old_page")</f>
        <v>old_page</v>
      </c>
      <c r="E1214" s="1">
        <f>IFERROR(__xludf.DUMMYFUNCTION("""COMPUTED_VALUE"""),0.0)</f>
        <v>0</v>
      </c>
    </row>
    <row r="1215">
      <c r="A1215" s="1">
        <f>IFERROR(__xludf.DUMMYFUNCTION("""COMPUTED_VALUE"""),736048.0)</f>
        <v>736048</v>
      </c>
      <c r="B1215" s="2">
        <f>IFERROR(__xludf.DUMMYFUNCTION("""COMPUTED_VALUE"""),42746.19964350017)</f>
        <v>42746.19964</v>
      </c>
      <c r="C1215" s="1" t="str">
        <f>IFERROR(__xludf.DUMMYFUNCTION("""COMPUTED_VALUE"""),"control")</f>
        <v>control</v>
      </c>
      <c r="D1215" s="1" t="str">
        <f>IFERROR(__xludf.DUMMYFUNCTION("""COMPUTED_VALUE"""),"old_page")</f>
        <v>old_page</v>
      </c>
      <c r="E1215" s="1">
        <f>IFERROR(__xludf.DUMMYFUNCTION("""COMPUTED_VALUE"""),0.0)</f>
        <v>0</v>
      </c>
    </row>
    <row r="1216">
      <c r="A1216" s="1">
        <f>IFERROR(__xludf.DUMMYFUNCTION("""COMPUTED_VALUE"""),668317.0)</f>
        <v>668317</v>
      </c>
      <c r="B1216" s="2">
        <f>IFERROR(__xludf.DUMMYFUNCTION("""COMPUTED_VALUE"""),42738.739294137675)</f>
        <v>42738.73929</v>
      </c>
      <c r="C1216" s="1" t="str">
        <f>IFERROR(__xludf.DUMMYFUNCTION("""COMPUTED_VALUE"""),"treatment")</f>
        <v>treatment</v>
      </c>
      <c r="D1216" s="1" t="str">
        <f>IFERROR(__xludf.DUMMYFUNCTION("""COMPUTED_VALUE"""),"new_page")</f>
        <v>new_page</v>
      </c>
      <c r="E1216" s="1">
        <f>IFERROR(__xludf.DUMMYFUNCTION("""COMPUTED_VALUE"""),0.0)</f>
        <v>0</v>
      </c>
    </row>
    <row r="1217">
      <c r="A1217" s="1">
        <f>IFERROR(__xludf.DUMMYFUNCTION("""COMPUTED_VALUE"""),818639.0)</f>
        <v>818639</v>
      </c>
      <c r="B1217" s="2">
        <f>IFERROR(__xludf.DUMMYFUNCTION("""COMPUTED_VALUE"""),42742.62843575585)</f>
        <v>42742.62844</v>
      </c>
      <c r="C1217" s="1" t="str">
        <f>IFERROR(__xludf.DUMMYFUNCTION("""COMPUTED_VALUE"""),"treatment")</f>
        <v>treatment</v>
      </c>
      <c r="D1217" s="1" t="str">
        <f>IFERROR(__xludf.DUMMYFUNCTION("""COMPUTED_VALUE"""),"new_page")</f>
        <v>new_page</v>
      </c>
      <c r="E1217" s="1">
        <f>IFERROR(__xludf.DUMMYFUNCTION("""COMPUTED_VALUE"""),0.0)</f>
        <v>0</v>
      </c>
    </row>
    <row r="1218">
      <c r="A1218" s="1">
        <f>IFERROR(__xludf.DUMMYFUNCTION("""COMPUTED_VALUE"""),815407.0)</f>
        <v>815407</v>
      </c>
      <c r="B1218" s="2">
        <f>IFERROR(__xludf.DUMMYFUNCTION("""COMPUTED_VALUE"""),42750.48017046029)</f>
        <v>42750.48017</v>
      </c>
      <c r="C1218" s="1" t="str">
        <f>IFERROR(__xludf.DUMMYFUNCTION("""COMPUTED_VALUE"""),"control")</f>
        <v>control</v>
      </c>
      <c r="D1218" s="1" t="str">
        <f>IFERROR(__xludf.DUMMYFUNCTION("""COMPUTED_VALUE"""),"old_page")</f>
        <v>old_page</v>
      </c>
      <c r="E1218" s="1">
        <f>IFERROR(__xludf.DUMMYFUNCTION("""COMPUTED_VALUE"""),0.0)</f>
        <v>0</v>
      </c>
    </row>
    <row r="1219">
      <c r="A1219" s="1">
        <f>IFERROR(__xludf.DUMMYFUNCTION("""COMPUTED_VALUE"""),718157.0)</f>
        <v>718157</v>
      </c>
      <c r="B1219" s="2">
        <f>IFERROR(__xludf.DUMMYFUNCTION("""COMPUTED_VALUE"""),42749.400908792675)</f>
        <v>42749.40091</v>
      </c>
      <c r="C1219" s="1" t="str">
        <f>IFERROR(__xludf.DUMMYFUNCTION("""COMPUTED_VALUE"""),"treatment")</f>
        <v>treatment</v>
      </c>
      <c r="D1219" s="1" t="str">
        <f>IFERROR(__xludf.DUMMYFUNCTION("""COMPUTED_VALUE"""),"new_page")</f>
        <v>new_page</v>
      </c>
      <c r="E1219" s="1">
        <f>IFERROR(__xludf.DUMMYFUNCTION("""COMPUTED_VALUE"""),0.0)</f>
        <v>0</v>
      </c>
    </row>
    <row r="1220">
      <c r="A1220" s="1">
        <f>IFERROR(__xludf.DUMMYFUNCTION("""COMPUTED_VALUE"""),728874.0)</f>
        <v>728874</v>
      </c>
      <c r="B1220" s="2">
        <f>IFERROR(__xludf.DUMMYFUNCTION("""COMPUTED_VALUE"""),42747.40158476547)</f>
        <v>42747.40158</v>
      </c>
      <c r="C1220" s="1" t="str">
        <f>IFERROR(__xludf.DUMMYFUNCTION("""COMPUTED_VALUE"""),"control")</f>
        <v>control</v>
      </c>
      <c r="D1220" s="1" t="str">
        <f>IFERROR(__xludf.DUMMYFUNCTION("""COMPUTED_VALUE"""),"old_page")</f>
        <v>old_page</v>
      </c>
      <c r="E1220" s="1">
        <f>IFERROR(__xludf.DUMMYFUNCTION("""COMPUTED_VALUE"""),0.0)</f>
        <v>0</v>
      </c>
    </row>
    <row r="1221">
      <c r="A1221" s="1">
        <f>IFERROR(__xludf.DUMMYFUNCTION("""COMPUTED_VALUE"""),922879.0)</f>
        <v>922879</v>
      </c>
      <c r="B1221" s="2">
        <f>IFERROR(__xludf.DUMMYFUNCTION("""COMPUTED_VALUE"""),42742.7549261561)</f>
        <v>42742.75493</v>
      </c>
      <c r="C1221" s="1" t="str">
        <f>IFERROR(__xludf.DUMMYFUNCTION("""COMPUTED_VALUE"""),"treatment")</f>
        <v>treatment</v>
      </c>
      <c r="D1221" s="1" t="str">
        <f>IFERROR(__xludf.DUMMYFUNCTION("""COMPUTED_VALUE"""),"new_page")</f>
        <v>new_page</v>
      </c>
      <c r="E1221" s="1">
        <f>IFERROR(__xludf.DUMMYFUNCTION("""COMPUTED_VALUE"""),0.0)</f>
        <v>0</v>
      </c>
    </row>
    <row r="1222">
      <c r="A1222" s="1">
        <f>IFERROR(__xludf.DUMMYFUNCTION("""COMPUTED_VALUE"""),710540.0)</f>
        <v>710540</v>
      </c>
      <c r="B1222" s="2">
        <f>IFERROR(__xludf.DUMMYFUNCTION("""COMPUTED_VALUE"""),42738.38610523609)</f>
        <v>42738.38611</v>
      </c>
      <c r="C1222" s="1" t="str">
        <f>IFERROR(__xludf.DUMMYFUNCTION("""COMPUTED_VALUE"""),"control")</f>
        <v>control</v>
      </c>
      <c r="D1222" s="1" t="str">
        <f>IFERROR(__xludf.DUMMYFUNCTION("""COMPUTED_VALUE"""),"old_page")</f>
        <v>old_page</v>
      </c>
      <c r="E1222" s="1">
        <f>IFERROR(__xludf.DUMMYFUNCTION("""COMPUTED_VALUE"""),0.0)</f>
        <v>0</v>
      </c>
    </row>
    <row r="1223">
      <c r="A1223" s="1">
        <f>IFERROR(__xludf.DUMMYFUNCTION("""COMPUTED_VALUE"""),690622.0)</f>
        <v>690622</v>
      </c>
      <c r="B1223" s="2">
        <f>IFERROR(__xludf.DUMMYFUNCTION("""COMPUTED_VALUE"""),42738.38791511291)</f>
        <v>42738.38792</v>
      </c>
      <c r="C1223" s="1" t="str">
        <f>IFERROR(__xludf.DUMMYFUNCTION("""COMPUTED_VALUE"""),"treatment")</f>
        <v>treatment</v>
      </c>
      <c r="D1223" s="1" t="str">
        <f>IFERROR(__xludf.DUMMYFUNCTION("""COMPUTED_VALUE"""),"new_page")</f>
        <v>new_page</v>
      </c>
      <c r="E1223" s="1">
        <f>IFERROR(__xludf.DUMMYFUNCTION("""COMPUTED_VALUE"""),0.0)</f>
        <v>0</v>
      </c>
    </row>
    <row r="1224">
      <c r="A1224" s="1">
        <f>IFERROR(__xludf.DUMMYFUNCTION("""COMPUTED_VALUE"""),857035.0)</f>
        <v>857035</v>
      </c>
      <c r="B1224" s="2">
        <f>IFERROR(__xludf.DUMMYFUNCTION("""COMPUTED_VALUE"""),42751.59207878466)</f>
        <v>42751.59208</v>
      </c>
      <c r="C1224" s="1" t="str">
        <f>IFERROR(__xludf.DUMMYFUNCTION("""COMPUTED_VALUE"""),"control")</f>
        <v>control</v>
      </c>
      <c r="D1224" s="1" t="str">
        <f>IFERROR(__xludf.DUMMYFUNCTION("""COMPUTED_VALUE"""),"old_page")</f>
        <v>old_page</v>
      </c>
      <c r="E1224" s="1">
        <f>IFERROR(__xludf.DUMMYFUNCTION("""COMPUTED_VALUE"""),0.0)</f>
        <v>0</v>
      </c>
    </row>
    <row r="1225">
      <c r="A1225" s="1">
        <f>IFERROR(__xludf.DUMMYFUNCTION("""COMPUTED_VALUE"""),945814.0)</f>
        <v>945814</v>
      </c>
      <c r="B1225" s="2">
        <f>IFERROR(__xludf.DUMMYFUNCTION("""COMPUTED_VALUE"""),42743.82348893098)</f>
        <v>42743.82349</v>
      </c>
      <c r="C1225" s="1" t="str">
        <f>IFERROR(__xludf.DUMMYFUNCTION("""COMPUTED_VALUE"""),"control")</f>
        <v>control</v>
      </c>
      <c r="D1225" s="1" t="str">
        <f>IFERROR(__xludf.DUMMYFUNCTION("""COMPUTED_VALUE"""),"old_page")</f>
        <v>old_page</v>
      </c>
      <c r="E1225" s="1">
        <f>IFERROR(__xludf.DUMMYFUNCTION("""COMPUTED_VALUE"""),0.0)</f>
        <v>0</v>
      </c>
    </row>
    <row r="1226">
      <c r="A1226" s="1">
        <f>IFERROR(__xludf.DUMMYFUNCTION("""COMPUTED_VALUE"""),680033.0)</f>
        <v>680033</v>
      </c>
      <c r="B1226" s="2">
        <f>IFERROR(__xludf.DUMMYFUNCTION("""COMPUTED_VALUE"""),42755.859469416566)</f>
        <v>42755.85947</v>
      </c>
      <c r="C1226" s="1" t="str">
        <f>IFERROR(__xludf.DUMMYFUNCTION("""COMPUTED_VALUE"""),"control")</f>
        <v>control</v>
      </c>
      <c r="D1226" s="1" t="str">
        <f>IFERROR(__xludf.DUMMYFUNCTION("""COMPUTED_VALUE"""),"old_page")</f>
        <v>old_page</v>
      </c>
      <c r="E1226" s="1">
        <f>IFERROR(__xludf.DUMMYFUNCTION("""COMPUTED_VALUE"""),0.0)</f>
        <v>0</v>
      </c>
    </row>
    <row r="1227">
      <c r="A1227" s="1">
        <f>IFERROR(__xludf.DUMMYFUNCTION("""COMPUTED_VALUE"""),768160.0)</f>
        <v>768160</v>
      </c>
      <c r="B1227" s="2">
        <f>IFERROR(__xludf.DUMMYFUNCTION("""COMPUTED_VALUE"""),42755.62721264684)</f>
        <v>42755.62721</v>
      </c>
      <c r="C1227" s="1" t="str">
        <f>IFERROR(__xludf.DUMMYFUNCTION("""COMPUTED_VALUE"""),"control")</f>
        <v>control</v>
      </c>
      <c r="D1227" s="1" t="str">
        <f>IFERROR(__xludf.DUMMYFUNCTION("""COMPUTED_VALUE"""),"old_page")</f>
        <v>old_page</v>
      </c>
      <c r="E1227" s="1">
        <f>IFERROR(__xludf.DUMMYFUNCTION("""COMPUTED_VALUE"""),0.0)</f>
        <v>0</v>
      </c>
    </row>
    <row r="1228">
      <c r="A1228" s="1">
        <f>IFERROR(__xludf.DUMMYFUNCTION("""COMPUTED_VALUE"""),661555.0)</f>
        <v>661555</v>
      </c>
      <c r="B1228" s="2">
        <f>IFERROR(__xludf.DUMMYFUNCTION("""COMPUTED_VALUE"""),42751.31753208999)</f>
        <v>42751.31753</v>
      </c>
      <c r="C1228" s="1" t="str">
        <f>IFERROR(__xludf.DUMMYFUNCTION("""COMPUTED_VALUE"""),"treatment")</f>
        <v>treatment</v>
      </c>
      <c r="D1228" s="1" t="str">
        <f>IFERROR(__xludf.DUMMYFUNCTION("""COMPUTED_VALUE"""),"new_page")</f>
        <v>new_page</v>
      </c>
      <c r="E1228" s="1">
        <f>IFERROR(__xludf.DUMMYFUNCTION("""COMPUTED_VALUE"""),0.0)</f>
        <v>0</v>
      </c>
    </row>
    <row r="1229">
      <c r="A1229" s="1">
        <f>IFERROR(__xludf.DUMMYFUNCTION("""COMPUTED_VALUE"""),817525.0)</f>
        <v>817525</v>
      </c>
      <c r="B1229" s="2">
        <f>IFERROR(__xludf.DUMMYFUNCTION("""COMPUTED_VALUE"""),42748.458050974616)</f>
        <v>42748.45805</v>
      </c>
      <c r="C1229" s="1" t="str">
        <f>IFERROR(__xludf.DUMMYFUNCTION("""COMPUTED_VALUE"""),"control")</f>
        <v>control</v>
      </c>
      <c r="D1229" s="1" t="str">
        <f>IFERROR(__xludf.DUMMYFUNCTION("""COMPUTED_VALUE"""),"old_page")</f>
        <v>old_page</v>
      </c>
      <c r="E1229" s="1">
        <f>IFERROR(__xludf.DUMMYFUNCTION("""COMPUTED_VALUE"""),0.0)</f>
        <v>0</v>
      </c>
    </row>
    <row r="1230">
      <c r="A1230" s="1">
        <f>IFERROR(__xludf.DUMMYFUNCTION("""COMPUTED_VALUE"""),862579.0)</f>
        <v>862579</v>
      </c>
      <c r="B1230" s="2">
        <f>IFERROR(__xludf.DUMMYFUNCTION("""COMPUTED_VALUE"""),42755.87398122852)</f>
        <v>42755.87398</v>
      </c>
      <c r="C1230" s="1" t="str">
        <f>IFERROR(__xludf.DUMMYFUNCTION("""COMPUTED_VALUE"""),"treatment")</f>
        <v>treatment</v>
      </c>
      <c r="D1230" s="1" t="str">
        <f>IFERROR(__xludf.DUMMYFUNCTION("""COMPUTED_VALUE"""),"new_page")</f>
        <v>new_page</v>
      </c>
      <c r="E1230" s="1">
        <f>IFERROR(__xludf.DUMMYFUNCTION("""COMPUTED_VALUE"""),1.0)</f>
        <v>1</v>
      </c>
    </row>
    <row r="1231">
      <c r="A1231" s="1">
        <f>IFERROR(__xludf.DUMMYFUNCTION("""COMPUTED_VALUE"""),856754.0)</f>
        <v>856754</v>
      </c>
      <c r="B1231" s="2">
        <f>IFERROR(__xludf.DUMMYFUNCTION("""COMPUTED_VALUE"""),42740.62696347833)</f>
        <v>42740.62696</v>
      </c>
      <c r="C1231" s="1" t="str">
        <f>IFERROR(__xludf.DUMMYFUNCTION("""COMPUTED_VALUE"""),"treatment")</f>
        <v>treatment</v>
      </c>
      <c r="D1231" s="1" t="str">
        <f>IFERROR(__xludf.DUMMYFUNCTION("""COMPUTED_VALUE"""),"new_page")</f>
        <v>new_page</v>
      </c>
      <c r="E1231" s="1">
        <f>IFERROR(__xludf.DUMMYFUNCTION("""COMPUTED_VALUE"""),0.0)</f>
        <v>0</v>
      </c>
    </row>
    <row r="1232">
      <c r="A1232" s="1">
        <f>IFERROR(__xludf.DUMMYFUNCTION("""COMPUTED_VALUE"""),827652.0)</f>
        <v>827652</v>
      </c>
      <c r="B1232" s="2">
        <f>IFERROR(__xludf.DUMMYFUNCTION("""COMPUTED_VALUE"""),42747.64787048103)</f>
        <v>42747.64787</v>
      </c>
      <c r="C1232" s="1" t="str">
        <f>IFERROR(__xludf.DUMMYFUNCTION("""COMPUTED_VALUE"""),"control")</f>
        <v>control</v>
      </c>
      <c r="D1232" s="1" t="str">
        <f>IFERROR(__xludf.DUMMYFUNCTION("""COMPUTED_VALUE"""),"old_page")</f>
        <v>old_page</v>
      </c>
      <c r="E1232" s="1">
        <f>IFERROR(__xludf.DUMMYFUNCTION("""COMPUTED_VALUE"""),1.0)</f>
        <v>1</v>
      </c>
    </row>
    <row r="1233">
      <c r="A1233" s="1">
        <f>IFERROR(__xludf.DUMMYFUNCTION("""COMPUTED_VALUE"""),696798.0)</f>
        <v>696798</v>
      </c>
      <c r="B1233" s="2">
        <f>IFERROR(__xludf.DUMMYFUNCTION("""COMPUTED_VALUE"""),42745.55443674447)</f>
        <v>42745.55444</v>
      </c>
      <c r="C1233" s="1" t="str">
        <f>IFERROR(__xludf.DUMMYFUNCTION("""COMPUTED_VALUE"""),"control")</f>
        <v>control</v>
      </c>
      <c r="D1233" s="1" t="str">
        <f>IFERROR(__xludf.DUMMYFUNCTION("""COMPUTED_VALUE"""),"old_page")</f>
        <v>old_page</v>
      </c>
      <c r="E1233" s="1">
        <f>IFERROR(__xludf.DUMMYFUNCTION("""COMPUTED_VALUE"""),0.0)</f>
        <v>0</v>
      </c>
    </row>
    <row r="1234">
      <c r="A1234" s="1">
        <f>IFERROR(__xludf.DUMMYFUNCTION("""COMPUTED_VALUE"""),783393.0)</f>
        <v>783393</v>
      </c>
      <c r="B1234" s="2">
        <f>IFERROR(__xludf.DUMMYFUNCTION("""COMPUTED_VALUE"""),42758.399728066666)</f>
        <v>42758.39973</v>
      </c>
      <c r="C1234" s="1" t="str">
        <f>IFERROR(__xludf.DUMMYFUNCTION("""COMPUTED_VALUE"""),"treatment")</f>
        <v>treatment</v>
      </c>
      <c r="D1234" s="1" t="str">
        <f>IFERROR(__xludf.DUMMYFUNCTION("""COMPUTED_VALUE"""),"new_page")</f>
        <v>new_page</v>
      </c>
      <c r="E1234" s="1">
        <f>IFERROR(__xludf.DUMMYFUNCTION("""COMPUTED_VALUE"""),0.0)</f>
        <v>0</v>
      </c>
    </row>
    <row r="1235">
      <c r="A1235" s="1">
        <f>IFERROR(__xludf.DUMMYFUNCTION("""COMPUTED_VALUE"""),831886.0)</f>
        <v>831886</v>
      </c>
      <c r="B1235" s="2">
        <f>IFERROR(__xludf.DUMMYFUNCTION("""COMPUTED_VALUE"""),42743.66596871418)</f>
        <v>42743.66597</v>
      </c>
      <c r="C1235" s="1" t="str">
        <f>IFERROR(__xludf.DUMMYFUNCTION("""COMPUTED_VALUE"""),"control")</f>
        <v>control</v>
      </c>
      <c r="D1235" s="1" t="str">
        <f>IFERROR(__xludf.DUMMYFUNCTION("""COMPUTED_VALUE"""),"old_page")</f>
        <v>old_page</v>
      </c>
      <c r="E1235" s="1">
        <f>IFERROR(__xludf.DUMMYFUNCTION("""COMPUTED_VALUE"""),0.0)</f>
        <v>0</v>
      </c>
    </row>
    <row r="1236">
      <c r="A1236" s="1">
        <f>IFERROR(__xludf.DUMMYFUNCTION("""COMPUTED_VALUE"""),819011.0)</f>
        <v>819011</v>
      </c>
      <c r="B1236" s="2">
        <f>IFERROR(__xludf.DUMMYFUNCTION("""COMPUTED_VALUE"""),42739.00937292179)</f>
        <v>42739.00937</v>
      </c>
      <c r="C1236" s="1" t="str">
        <f>IFERROR(__xludf.DUMMYFUNCTION("""COMPUTED_VALUE"""),"treatment")</f>
        <v>treatment</v>
      </c>
      <c r="D1236" s="1" t="str">
        <f>IFERROR(__xludf.DUMMYFUNCTION("""COMPUTED_VALUE"""),"new_page")</f>
        <v>new_page</v>
      </c>
      <c r="E1236" s="1">
        <f>IFERROR(__xludf.DUMMYFUNCTION("""COMPUTED_VALUE"""),1.0)</f>
        <v>1</v>
      </c>
    </row>
    <row r="1237">
      <c r="A1237" s="1">
        <f>IFERROR(__xludf.DUMMYFUNCTION("""COMPUTED_VALUE"""),940001.0)</f>
        <v>940001</v>
      </c>
      <c r="B1237" s="2">
        <f>IFERROR(__xludf.DUMMYFUNCTION("""COMPUTED_VALUE"""),42757.50274151536)</f>
        <v>42757.50274</v>
      </c>
      <c r="C1237" s="1" t="str">
        <f>IFERROR(__xludf.DUMMYFUNCTION("""COMPUTED_VALUE"""),"treatment")</f>
        <v>treatment</v>
      </c>
      <c r="D1237" s="1" t="str">
        <f>IFERROR(__xludf.DUMMYFUNCTION("""COMPUTED_VALUE"""),"new_page")</f>
        <v>new_page</v>
      </c>
      <c r="E1237" s="1">
        <f>IFERROR(__xludf.DUMMYFUNCTION("""COMPUTED_VALUE"""),0.0)</f>
        <v>0</v>
      </c>
    </row>
    <row r="1238">
      <c r="A1238" s="1">
        <f>IFERROR(__xludf.DUMMYFUNCTION("""COMPUTED_VALUE"""),785093.0)</f>
        <v>785093</v>
      </c>
      <c r="B1238" s="2">
        <f>IFERROR(__xludf.DUMMYFUNCTION("""COMPUTED_VALUE"""),42745.889749357775)</f>
        <v>42745.88975</v>
      </c>
      <c r="C1238" s="1" t="str">
        <f>IFERROR(__xludf.DUMMYFUNCTION("""COMPUTED_VALUE"""),"control")</f>
        <v>control</v>
      </c>
      <c r="D1238" s="1" t="str">
        <f>IFERROR(__xludf.DUMMYFUNCTION("""COMPUTED_VALUE"""),"old_page")</f>
        <v>old_page</v>
      </c>
      <c r="E1238" s="1">
        <f>IFERROR(__xludf.DUMMYFUNCTION("""COMPUTED_VALUE"""),0.0)</f>
        <v>0</v>
      </c>
    </row>
    <row r="1239">
      <c r="A1239" s="1">
        <f>IFERROR(__xludf.DUMMYFUNCTION("""COMPUTED_VALUE"""),892377.0)</f>
        <v>892377</v>
      </c>
      <c r="B1239" s="2">
        <f>IFERROR(__xludf.DUMMYFUNCTION("""COMPUTED_VALUE"""),42755.01320377147)</f>
        <v>42755.0132</v>
      </c>
      <c r="C1239" s="1" t="str">
        <f>IFERROR(__xludf.DUMMYFUNCTION("""COMPUTED_VALUE"""),"treatment")</f>
        <v>treatment</v>
      </c>
      <c r="D1239" s="1" t="str">
        <f>IFERROR(__xludf.DUMMYFUNCTION("""COMPUTED_VALUE"""),"new_page")</f>
        <v>new_page</v>
      </c>
      <c r="E1239" s="1">
        <f>IFERROR(__xludf.DUMMYFUNCTION("""COMPUTED_VALUE"""),0.0)</f>
        <v>0</v>
      </c>
    </row>
    <row r="1240">
      <c r="A1240" s="1">
        <f>IFERROR(__xludf.DUMMYFUNCTION("""COMPUTED_VALUE"""),783773.0)</f>
        <v>783773</v>
      </c>
      <c r="B1240" s="2">
        <f>IFERROR(__xludf.DUMMYFUNCTION("""COMPUTED_VALUE"""),42758.42279024544)</f>
        <v>42758.42279</v>
      </c>
      <c r="C1240" s="1" t="str">
        <f>IFERROR(__xludf.DUMMYFUNCTION("""COMPUTED_VALUE"""),"control")</f>
        <v>control</v>
      </c>
      <c r="D1240" s="1" t="str">
        <f>IFERROR(__xludf.DUMMYFUNCTION("""COMPUTED_VALUE"""),"old_page")</f>
        <v>old_page</v>
      </c>
      <c r="E1240" s="1">
        <f>IFERROR(__xludf.DUMMYFUNCTION("""COMPUTED_VALUE"""),0.0)</f>
        <v>0</v>
      </c>
    </row>
    <row r="1241">
      <c r="A1241" s="1">
        <f>IFERROR(__xludf.DUMMYFUNCTION("""COMPUTED_VALUE"""),654841.0)</f>
        <v>654841</v>
      </c>
      <c r="B1241" s="2">
        <f>IFERROR(__xludf.DUMMYFUNCTION("""COMPUTED_VALUE"""),42745.61883615961)</f>
        <v>42745.61884</v>
      </c>
      <c r="C1241" s="1" t="str">
        <f>IFERROR(__xludf.DUMMYFUNCTION("""COMPUTED_VALUE"""),"treatment")</f>
        <v>treatment</v>
      </c>
      <c r="D1241" s="1" t="str">
        <f>IFERROR(__xludf.DUMMYFUNCTION("""COMPUTED_VALUE"""),"new_page")</f>
        <v>new_page</v>
      </c>
      <c r="E1241" s="1">
        <f>IFERROR(__xludf.DUMMYFUNCTION("""COMPUTED_VALUE"""),0.0)</f>
        <v>0</v>
      </c>
    </row>
    <row r="1242">
      <c r="A1242" s="1">
        <f>IFERROR(__xludf.DUMMYFUNCTION("""COMPUTED_VALUE"""),770626.0)</f>
        <v>770626</v>
      </c>
      <c r="B1242" s="2">
        <f>IFERROR(__xludf.DUMMYFUNCTION("""COMPUTED_VALUE"""),42745.69163281209)</f>
        <v>42745.69163</v>
      </c>
      <c r="C1242" s="1" t="str">
        <f>IFERROR(__xludf.DUMMYFUNCTION("""COMPUTED_VALUE"""),"control")</f>
        <v>control</v>
      </c>
      <c r="D1242" s="1" t="str">
        <f>IFERROR(__xludf.DUMMYFUNCTION("""COMPUTED_VALUE"""),"old_page")</f>
        <v>old_page</v>
      </c>
      <c r="E1242" s="1">
        <f>IFERROR(__xludf.DUMMYFUNCTION("""COMPUTED_VALUE"""),0.0)</f>
        <v>0</v>
      </c>
    </row>
    <row r="1243">
      <c r="A1243" s="1">
        <f>IFERROR(__xludf.DUMMYFUNCTION("""COMPUTED_VALUE"""),760161.0)</f>
        <v>760161</v>
      </c>
      <c r="B1243" s="2">
        <f>IFERROR(__xludf.DUMMYFUNCTION("""COMPUTED_VALUE"""),42748.375736882444)</f>
        <v>42748.37574</v>
      </c>
      <c r="C1243" s="1" t="str">
        <f>IFERROR(__xludf.DUMMYFUNCTION("""COMPUTED_VALUE"""),"control")</f>
        <v>control</v>
      </c>
      <c r="D1243" s="1" t="str">
        <f>IFERROR(__xludf.DUMMYFUNCTION("""COMPUTED_VALUE"""),"old_page")</f>
        <v>old_page</v>
      </c>
      <c r="E1243" s="1">
        <f>IFERROR(__xludf.DUMMYFUNCTION("""COMPUTED_VALUE"""),0.0)</f>
        <v>0</v>
      </c>
    </row>
    <row r="1244">
      <c r="A1244" s="1">
        <f>IFERROR(__xludf.DUMMYFUNCTION("""COMPUTED_VALUE"""),683501.0)</f>
        <v>683501</v>
      </c>
      <c r="B1244" s="2">
        <f>IFERROR(__xludf.DUMMYFUNCTION("""COMPUTED_VALUE"""),42748.26858777856)</f>
        <v>42748.26859</v>
      </c>
      <c r="C1244" s="1" t="str">
        <f>IFERROR(__xludf.DUMMYFUNCTION("""COMPUTED_VALUE"""),"treatment")</f>
        <v>treatment</v>
      </c>
      <c r="D1244" s="1" t="str">
        <f>IFERROR(__xludf.DUMMYFUNCTION("""COMPUTED_VALUE"""),"new_page")</f>
        <v>new_page</v>
      </c>
      <c r="E1244" s="1">
        <f>IFERROR(__xludf.DUMMYFUNCTION("""COMPUTED_VALUE"""),0.0)</f>
        <v>0</v>
      </c>
    </row>
    <row r="1245">
      <c r="A1245" s="1">
        <f>IFERROR(__xludf.DUMMYFUNCTION("""COMPUTED_VALUE"""),899814.0)</f>
        <v>899814</v>
      </c>
      <c r="B1245" s="2">
        <f>IFERROR(__xludf.DUMMYFUNCTION("""COMPUTED_VALUE"""),42744.8383774651)</f>
        <v>42744.83838</v>
      </c>
      <c r="C1245" s="1" t="str">
        <f>IFERROR(__xludf.DUMMYFUNCTION("""COMPUTED_VALUE"""),"treatment")</f>
        <v>treatment</v>
      </c>
      <c r="D1245" s="1" t="str">
        <f>IFERROR(__xludf.DUMMYFUNCTION("""COMPUTED_VALUE"""),"new_page")</f>
        <v>new_page</v>
      </c>
      <c r="E1245" s="1">
        <f>IFERROR(__xludf.DUMMYFUNCTION("""COMPUTED_VALUE"""),0.0)</f>
        <v>0</v>
      </c>
    </row>
    <row r="1246">
      <c r="A1246" s="1">
        <f>IFERROR(__xludf.DUMMYFUNCTION("""COMPUTED_VALUE"""),630586.0)</f>
        <v>630586</v>
      </c>
      <c r="B1246" s="2">
        <f>IFERROR(__xludf.DUMMYFUNCTION("""COMPUTED_VALUE"""),42752.698862626865)</f>
        <v>42752.69886</v>
      </c>
      <c r="C1246" s="1" t="str">
        <f>IFERROR(__xludf.DUMMYFUNCTION("""COMPUTED_VALUE"""),"control")</f>
        <v>control</v>
      </c>
      <c r="D1246" s="1" t="str">
        <f>IFERROR(__xludf.DUMMYFUNCTION("""COMPUTED_VALUE"""),"old_page")</f>
        <v>old_page</v>
      </c>
      <c r="E1246" s="1">
        <f>IFERROR(__xludf.DUMMYFUNCTION("""COMPUTED_VALUE"""),0.0)</f>
        <v>0</v>
      </c>
    </row>
    <row r="1247">
      <c r="A1247" s="1">
        <f>IFERROR(__xludf.DUMMYFUNCTION("""COMPUTED_VALUE"""),886003.0)</f>
        <v>886003</v>
      </c>
      <c r="B1247" s="2">
        <f>IFERROR(__xludf.DUMMYFUNCTION("""COMPUTED_VALUE"""),42749.55031009949)</f>
        <v>42749.55031</v>
      </c>
      <c r="C1247" s="1" t="str">
        <f>IFERROR(__xludf.DUMMYFUNCTION("""COMPUTED_VALUE"""),"treatment")</f>
        <v>treatment</v>
      </c>
      <c r="D1247" s="1" t="str">
        <f>IFERROR(__xludf.DUMMYFUNCTION("""COMPUTED_VALUE"""),"new_page")</f>
        <v>new_page</v>
      </c>
      <c r="E1247" s="1">
        <f>IFERROR(__xludf.DUMMYFUNCTION("""COMPUTED_VALUE"""),0.0)</f>
        <v>0</v>
      </c>
    </row>
    <row r="1248">
      <c r="A1248" s="1">
        <f>IFERROR(__xludf.DUMMYFUNCTION("""COMPUTED_VALUE"""),723712.0)</f>
        <v>723712</v>
      </c>
      <c r="B1248" s="2">
        <f>IFERROR(__xludf.DUMMYFUNCTION("""COMPUTED_VALUE"""),42744.48105151228)</f>
        <v>42744.48105</v>
      </c>
      <c r="C1248" s="1" t="str">
        <f>IFERROR(__xludf.DUMMYFUNCTION("""COMPUTED_VALUE"""),"treatment")</f>
        <v>treatment</v>
      </c>
      <c r="D1248" s="1" t="str">
        <f>IFERROR(__xludf.DUMMYFUNCTION("""COMPUTED_VALUE"""),"new_page")</f>
        <v>new_page</v>
      </c>
      <c r="E1248" s="1">
        <f>IFERROR(__xludf.DUMMYFUNCTION("""COMPUTED_VALUE"""),0.0)</f>
        <v>0</v>
      </c>
    </row>
    <row r="1249">
      <c r="A1249" s="1">
        <f>IFERROR(__xludf.DUMMYFUNCTION("""COMPUTED_VALUE"""),833696.0)</f>
        <v>833696</v>
      </c>
      <c r="B1249" s="2">
        <f>IFERROR(__xludf.DUMMYFUNCTION("""COMPUTED_VALUE"""),42742.98554394391)</f>
        <v>42742.98554</v>
      </c>
      <c r="C1249" s="1" t="str">
        <f>IFERROR(__xludf.DUMMYFUNCTION("""COMPUTED_VALUE"""),"treatment")</f>
        <v>treatment</v>
      </c>
      <c r="D1249" s="1" t="str">
        <f>IFERROR(__xludf.DUMMYFUNCTION("""COMPUTED_VALUE"""),"new_page")</f>
        <v>new_page</v>
      </c>
      <c r="E1249" s="1">
        <f>IFERROR(__xludf.DUMMYFUNCTION("""COMPUTED_VALUE"""),0.0)</f>
        <v>0</v>
      </c>
    </row>
    <row r="1250">
      <c r="A1250" s="1">
        <f>IFERROR(__xludf.DUMMYFUNCTION("""COMPUTED_VALUE"""),764128.0)</f>
        <v>764128</v>
      </c>
      <c r="B1250" s="2">
        <f>IFERROR(__xludf.DUMMYFUNCTION("""COMPUTED_VALUE"""),42738.52131747472)</f>
        <v>42738.52132</v>
      </c>
      <c r="C1250" s="1" t="str">
        <f>IFERROR(__xludf.DUMMYFUNCTION("""COMPUTED_VALUE"""),"treatment")</f>
        <v>treatment</v>
      </c>
      <c r="D1250" s="1" t="str">
        <f>IFERROR(__xludf.DUMMYFUNCTION("""COMPUTED_VALUE"""),"new_page")</f>
        <v>new_page</v>
      </c>
      <c r="E1250" s="1">
        <f>IFERROR(__xludf.DUMMYFUNCTION("""COMPUTED_VALUE"""),0.0)</f>
        <v>0</v>
      </c>
    </row>
    <row r="1251">
      <c r="A1251" s="1">
        <f>IFERROR(__xludf.DUMMYFUNCTION("""COMPUTED_VALUE"""),730743.0)</f>
        <v>730743</v>
      </c>
      <c r="B1251" s="2">
        <f>IFERROR(__xludf.DUMMYFUNCTION("""COMPUTED_VALUE"""),42744.798990917894)</f>
        <v>42744.79899</v>
      </c>
      <c r="C1251" s="1" t="str">
        <f>IFERROR(__xludf.DUMMYFUNCTION("""COMPUTED_VALUE"""),"control")</f>
        <v>control</v>
      </c>
      <c r="D1251" s="1" t="str">
        <f>IFERROR(__xludf.DUMMYFUNCTION("""COMPUTED_VALUE"""),"old_page")</f>
        <v>old_page</v>
      </c>
      <c r="E1251" s="1">
        <f>IFERROR(__xludf.DUMMYFUNCTION("""COMPUTED_VALUE"""),0.0)</f>
        <v>0</v>
      </c>
    </row>
    <row r="1252">
      <c r="A1252" s="1">
        <f>IFERROR(__xludf.DUMMYFUNCTION("""COMPUTED_VALUE"""),819473.0)</f>
        <v>819473</v>
      </c>
      <c r="B1252" s="2">
        <f>IFERROR(__xludf.DUMMYFUNCTION("""COMPUTED_VALUE"""),42738.609458697385)</f>
        <v>42738.60946</v>
      </c>
      <c r="C1252" s="1" t="str">
        <f>IFERROR(__xludf.DUMMYFUNCTION("""COMPUTED_VALUE"""),"treatment")</f>
        <v>treatment</v>
      </c>
      <c r="D1252" s="1" t="str">
        <f>IFERROR(__xludf.DUMMYFUNCTION("""COMPUTED_VALUE"""),"new_page")</f>
        <v>new_page</v>
      </c>
      <c r="E1252" s="1">
        <f>IFERROR(__xludf.DUMMYFUNCTION("""COMPUTED_VALUE"""),0.0)</f>
        <v>0</v>
      </c>
    </row>
    <row r="1253">
      <c r="A1253" s="1">
        <f>IFERROR(__xludf.DUMMYFUNCTION("""COMPUTED_VALUE"""),756062.0)</f>
        <v>756062</v>
      </c>
      <c r="B1253" s="2">
        <f>IFERROR(__xludf.DUMMYFUNCTION("""COMPUTED_VALUE"""),42742.6074492457)</f>
        <v>42742.60745</v>
      </c>
      <c r="C1253" s="1" t="str">
        <f>IFERROR(__xludf.DUMMYFUNCTION("""COMPUTED_VALUE"""),"control")</f>
        <v>control</v>
      </c>
      <c r="D1253" s="1" t="str">
        <f>IFERROR(__xludf.DUMMYFUNCTION("""COMPUTED_VALUE"""),"old_page")</f>
        <v>old_page</v>
      </c>
      <c r="E1253" s="1">
        <f>IFERROR(__xludf.DUMMYFUNCTION("""COMPUTED_VALUE"""),0.0)</f>
        <v>0</v>
      </c>
    </row>
    <row r="1254">
      <c r="A1254" s="1">
        <f>IFERROR(__xludf.DUMMYFUNCTION("""COMPUTED_VALUE"""),883950.0)</f>
        <v>883950</v>
      </c>
      <c r="B1254" s="2">
        <f>IFERROR(__xludf.DUMMYFUNCTION("""COMPUTED_VALUE"""),42742.49563031794)</f>
        <v>42742.49563</v>
      </c>
      <c r="C1254" s="1" t="str">
        <f>IFERROR(__xludf.DUMMYFUNCTION("""COMPUTED_VALUE"""),"control")</f>
        <v>control</v>
      </c>
      <c r="D1254" s="1" t="str">
        <f>IFERROR(__xludf.DUMMYFUNCTION("""COMPUTED_VALUE"""),"old_page")</f>
        <v>old_page</v>
      </c>
      <c r="E1254" s="1">
        <f>IFERROR(__xludf.DUMMYFUNCTION("""COMPUTED_VALUE"""),0.0)</f>
        <v>0</v>
      </c>
    </row>
    <row r="1255">
      <c r="A1255" s="1">
        <f>IFERROR(__xludf.DUMMYFUNCTION("""COMPUTED_VALUE"""),847033.0)</f>
        <v>847033</v>
      </c>
      <c r="B1255" s="2">
        <f>IFERROR(__xludf.DUMMYFUNCTION("""COMPUTED_VALUE"""),42738.883160598816)</f>
        <v>42738.88316</v>
      </c>
      <c r="C1255" s="1" t="str">
        <f>IFERROR(__xludf.DUMMYFUNCTION("""COMPUTED_VALUE"""),"treatment")</f>
        <v>treatment</v>
      </c>
      <c r="D1255" s="1" t="str">
        <f>IFERROR(__xludf.DUMMYFUNCTION("""COMPUTED_VALUE"""),"new_page")</f>
        <v>new_page</v>
      </c>
      <c r="E1255" s="1">
        <f>IFERROR(__xludf.DUMMYFUNCTION("""COMPUTED_VALUE"""),0.0)</f>
        <v>0</v>
      </c>
    </row>
    <row r="1256">
      <c r="A1256" s="1">
        <f>IFERROR(__xludf.DUMMYFUNCTION("""COMPUTED_VALUE"""),915010.0)</f>
        <v>915010</v>
      </c>
      <c r="B1256" s="2">
        <f>IFERROR(__xludf.DUMMYFUNCTION("""COMPUTED_VALUE"""),42741.13487297681)</f>
        <v>42741.13487</v>
      </c>
      <c r="C1256" s="1" t="str">
        <f>IFERROR(__xludf.DUMMYFUNCTION("""COMPUTED_VALUE"""),"control")</f>
        <v>control</v>
      </c>
      <c r="D1256" s="1" t="str">
        <f>IFERROR(__xludf.DUMMYFUNCTION("""COMPUTED_VALUE"""),"old_page")</f>
        <v>old_page</v>
      </c>
      <c r="E1256" s="1">
        <f>IFERROR(__xludf.DUMMYFUNCTION("""COMPUTED_VALUE"""),0.0)</f>
        <v>0</v>
      </c>
    </row>
    <row r="1257">
      <c r="A1257" s="1">
        <f>IFERROR(__xludf.DUMMYFUNCTION("""COMPUTED_VALUE"""),633552.0)</f>
        <v>633552</v>
      </c>
      <c r="B1257" s="2">
        <f>IFERROR(__xludf.DUMMYFUNCTION("""COMPUTED_VALUE"""),42752.24688356788)</f>
        <v>42752.24688</v>
      </c>
      <c r="C1257" s="1" t="str">
        <f>IFERROR(__xludf.DUMMYFUNCTION("""COMPUTED_VALUE"""),"control")</f>
        <v>control</v>
      </c>
      <c r="D1257" s="1" t="str">
        <f>IFERROR(__xludf.DUMMYFUNCTION("""COMPUTED_VALUE"""),"old_page")</f>
        <v>old_page</v>
      </c>
      <c r="E1257" s="1">
        <f>IFERROR(__xludf.DUMMYFUNCTION("""COMPUTED_VALUE"""),0.0)</f>
        <v>0</v>
      </c>
    </row>
    <row r="1258">
      <c r="A1258" s="1">
        <f>IFERROR(__xludf.DUMMYFUNCTION("""COMPUTED_VALUE"""),933860.0)</f>
        <v>933860</v>
      </c>
      <c r="B1258" s="2">
        <f>IFERROR(__xludf.DUMMYFUNCTION("""COMPUTED_VALUE"""),42744.80821937175)</f>
        <v>42744.80822</v>
      </c>
      <c r="C1258" s="1" t="str">
        <f>IFERROR(__xludf.DUMMYFUNCTION("""COMPUTED_VALUE"""),"control")</f>
        <v>control</v>
      </c>
      <c r="D1258" s="1" t="str">
        <f>IFERROR(__xludf.DUMMYFUNCTION("""COMPUTED_VALUE"""),"old_page")</f>
        <v>old_page</v>
      </c>
      <c r="E1258" s="1">
        <f>IFERROR(__xludf.DUMMYFUNCTION("""COMPUTED_VALUE"""),1.0)</f>
        <v>1</v>
      </c>
    </row>
    <row r="1259">
      <c r="A1259" s="1">
        <f>IFERROR(__xludf.DUMMYFUNCTION("""COMPUTED_VALUE"""),742486.0)</f>
        <v>742486</v>
      </c>
      <c r="B1259" s="2">
        <f>IFERROR(__xludf.DUMMYFUNCTION("""COMPUTED_VALUE"""),42739.55097722095)</f>
        <v>42739.55098</v>
      </c>
      <c r="C1259" s="1" t="str">
        <f>IFERROR(__xludf.DUMMYFUNCTION("""COMPUTED_VALUE"""),"treatment")</f>
        <v>treatment</v>
      </c>
      <c r="D1259" s="1" t="str">
        <f>IFERROR(__xludf.DUMMYFUNCTION("""COMPUTED_VALUE"""),"new_page")</f>
        <v>new_page</v>
      </c>
      <c r="E1259" s="1">
        <f>IFERROR(__xludf.DUMMYFUNCTION("""COMPUTED_VALUE"""),0.0)</f>
        <v>0</v>
      </c>
    </row>
    <row r="1260">
      <c r="A1260" s="1">
        <f>IFERROR(__xludf.DUMMYFUNCTION("""COMPUTED_VALUE"""),941633.0)</f>
        <v>941633</v>
      </c>
      <c r="B1260" s="2">
        <f>IFERROR(__xludf.DUMMYFUNCTION("""COMPUTED_VALUE"""),42755.52668677477)</f>
        <v>42755.52669</v>
      </c>
      <c r="C1260" s="1" t="str">
        <f>IFERROR(__xludf.DUMMYFUNCTION("""COMPUTED_VALUE"""),"control")</f>
        <v>control</v>
      </c>
      <c r="D1260" s="1" t="str">
        <f>IFERROR(__xludf.DUMMYFUNCTION("""COMPUTED_VALUE"""),"old_page")</f>
        <v>old_page</v>
      </c>
      <c r="E1260" s="1">
        <f>IFERROR(__xludf.DUMMYFUNCTION("""COMPUTED_VALUE"""),0.0)</f>
        <v>0</v>
      </c>
    </row>
    <row r="1261">
      <c r="A1261" s="1">
        <f>IFERROR(__xludf.DUMMYFUNCTION("""COMPUTED_VALUE"""),817708.0)</f>
        <v>817708</v>
      </c>
      <c r="B1261" s="2">
        <f>IFERROR(__xludf.DUMMYFUNCTION("""COMPUTED_VALUE"""),42757.6208928104)</f>
        <v>42757.62089</v>
      </c>
      <c r="C1261" s="1" t="str">
        <f>IFERROR(__xludf.DUMMYFUNCTION("""COMPUTED_VALUE"""),"control")</f>
        <v>control</v>
      </c>
      <c r="D1261" s="1" t="str">
        <f>IFERROR(__xludf.DUMMYFUNCTION("""COMPUTED_VALUE"""),"old_page")</f>
        <v>old_page</v>
      </c>
      <c r="E1261" s="1">
        <f>IFERROR(__xludf.DUMMYFUNCTION("""COMPUTED_VALUE"""),0.0)</f>
        <v>0</v>
      </c>
    </row>
    <row r="1262">
      <c r="A1262" s="1">
        <f>IFERROR(__xludf.DUMMYFUNCTION("""COMPUTED_VALUE"""),634833.0)</f>
        <v>634833</v>
      </c>
      <c r="B1262" s="2">
        <f>IFERROR(__xludf.DUMMYFUNCTION("""COMPUTED_VALUE"""),42749.648393063464)</f>
        <v>42749.64839</v>
      </c>
      <c r="C1262" s="1" t="str">
        <f>IFERROR(__xludf.DUMMYFUNCTION("""COMPUTED_VALUE"""),"control")</f>
        <v>control</v>
      </c>
      <c r="D1262" s="1" t="str">
        <f>IFERROR(__xludf.DUMMYFUNCTION("""COMPUTED_VALUE"""),"old_page")</f>
        <v>old_page</v>
      </c>
      <c r="E1262" s="1">
        <f>IFERROR(__xludf.DUMMYFUNCTION("""COMPUTED_VALUE"""),1.0)</f>
        <v>1</v>
      </c>
    </row>
    <row r="1263">
      <c r="A1263" s="1">
        <f>IFERROR(__xludf.DUMMYFUNCTION("""COMPUTED_VALUE"""),896749.0)</f>
        <v>896749</v>
      </c>
      <c r="B1263" s="2">
        <f>IFERROR(__xludf.DUMMYFUNCTION("""COMPUTED_VALUE"""),42758.8970984325)</f>
        <v>42758.8971</v>
      </c>
      <c r="C1263" s="1" t="str">
        <f>IFERROR(__xludf.DUMMYFUNCTION("""COMPUTED_VALUE"""),"control")</f>
        <v>control</v>
      </c>
      <c r="D1263" s="1" t="str">
        <f>IFERROR(__xludf.DUMMYFUNCTION("""COMPUTED_VALUE"""),"old_page")</f>
        <v>old_page</v>
      </c>
      <c r="E1263" s="1">
        <f>IFERROR(__xludf.DUMMYFUNCTION("""COMPUTED_VALUE"""),0.0)</f>
        <v>0</v>
      </c>
    </row>
    <row r="1264">
      <c r="A1264" s="1">
        <f>IFERROR(__xludf.DUMMYFUNCTION("""COMPUTED_VALUE"""),847541.0)</f>
        <v>847541</v>
      </c>
      <c r="B1264" s="2">
        <f>IFERROR(__xludf.DUMMYFUNCTION("""COMPUTED_VALUE"""),42742.021865821574)</f>
        <v>42742.02187</v>
      </c>
      <c r="C1264" s="1" t="str">
        <f>IFERROR(__xludf.DUMMYFUNCTION("""COMPUTED_VALUE"""),"control")</f>
        <v>control</v>
      </c>
      <c r="D1264" s="1" t="str">
        <f>IFERROR(__xludf.DUMMYFUNCTION("""COMPUTED_VALUE"""),"old_page")</f>
        <v>old_page</v>
      </c>
      <c r="E1264" s="1">
        <f>IFERROR(__xludf.DUMMYFUNCTION("""COMPUTED_VALUE"""),0.0)</f>
        <v>0</v>
      </c>
    </row>
    <row r="1265">
      <c r="A1265" s="1">
        <f>IFERROR(__xludf.DUMMYFUNCTION("""COMPUTED_VALUE"""),764138.0)</f>
        <v>764138</v>
      </c>
      <c r="B1265" s="2">
        <f>IFERROR(__xludf.DUMMYFUNCTION("""COMPUTED_VALUE"""),42742.58163484427)</f>
        <v>42742.58163</v>
      </c>
      <c r="C1265" s="1" t="str">
        <f>IFERROR(__xludf.DUMMYFUNCTION("""COMPUTED_VALUE"""),"treatment")</f>
        <v>treatment</v>
      </c>
      <c r="D1265" s="1" t="str">
        <f>IFERROR(__xludf.DUMMYFUNCTION("""COMPUTED_VALUE"""),"new_page")</f>
        <v>new_page</v>
      </c>
      <c r="E1265" s="1">
        <f>IFERROR(__xludf.DUMMYFUNCTION("""COMPUTED_VALUE"""),0.0)</f>
        <v>0</v>
      </c>
    </row>
    <row r="1266">
      <c r="A1266" s="1">
        <f>IFERROR(__xludf.DUMMYFUNCTION("""COMPUTED_VALUE"""),841851.0)</f>
        <v>841851</v>
      </c>
      <c r="B1266" s="2">
        <f>IFERROR(__xludf.DUMMYFUNCTION("""COMPUTED_VALUE"""),42743.25402557317)</f>
        <v>42743.25403</v>
      </c>
      <c r="C1266" s="1" t="str">
        <f>IFERROR(__xludf.DUMMYFUNCTION("""COMPUTED_VALUE"""),"control")</f>
        <v>control</v>
      </c>
      <c r="D1266" s="1" t="str">
        <f>IFERROR(__xludf.DUMMYFUNCTION("""COMPUTED_VALUE"""),"old_page")</f>
        <v>old_page</v>
      </c>
      <c r="E1266" s="1">
        <f>IFERROR(__xludf.DUMMYFUNCTION("""COMPUTED_VALUE"""),0.0)</f>
        <v>0</v>
      </c>
    </row>
    <row r="1267">
      <c r="A1267" s="1">
        <f>IFERROR(__xludf.DUMMYFUNCTION("""COMPUTED_VALUE"""),807657.0)</f>
        <v>807657</v>
      </c>
      <c r="B1267" s="2">
        <f>IFERROR(__xludf.DUMMYFUNCTION("""COMPUTED_VALUE"""),42738.11300266327)</f>
        <v>42738.113</v>
      </c>
      <c r="C1267" s="1" t="str">
        <f>IFERROR(__xludf.DUMMYFUNCTION("""COMPUTED_VALUE"""),"treatment")</f>
        <v>treatment</v>
      </c>
      <c r="D1267" s="1" t="str">
        <f>IFERROR(__xludf.DUMMYFUNCTION("""COMPUTED_VALUE"""),"new_page")</f>
        <v>new_page</v>
      </c>
      <c r="E1267" s="1">
        <f>IFERROR(__xludf.DUMMYFUNCTION("""COMPUTED_VALUE"""),0.0)</f>
        <v>0</v>
      </c>
    </row>
    <row r="1268">
      <c r="A1268" s="1">
        <f>IFERROR(__xludf.DUMMYFUNCTION("""COMPUTED_VALUE"""),838566.0)</f>
        <v>838566</v>
      </c>
      <c r="B1268" s="2">
        <f>IFERROR(__xludf.DUMMYFUNCTION("""COMPUTED_VALUE"""),42753.59271344628)</f>
        <v>42753.59271</v>
      </c>
      <c r="C1268" s="1" t="str">
        <f>IFERROR(__xludf.DUMMYFUNCTION("""COMPUTED_VALUE"""),"treatment")</f>
        <v>treatment</v>
      </c>
      <c r="D1268" s="1" t="str">
        <f>IFERROR(__xludf.DUMMYFUNCTION("""COMPUTED_VALUE"""),"new_page")</f>
        <v>new_page</v>
      </c>
      <c r="E1268" s="1">
        <f>IFERROR(__xludf.DUMMYFUNCTION("""COMPUTED_VALUE"""),1.0)</f>
        <v>1</v>
      </c>
    </row>
    <row r="1269">
      <c r="A1269" s="1">
        <f>IFERROR(__xludf.DUMMYFUNCTION("""COMPUTED_VALUE"""),837461.0)</f>
        <v>837461</v>
      </c>
      <c r="B1269" s="2">
        <f>IFERROR(__xludf.DUMMYFUNCTION("""COMPUTED_VALUE"""),42759.27509759924)</f>
        <v>42759.2751</v>
      </c>
      <c r="C1269" s="1" t="str">
        <f>IFERROR(__xludf.DUMMYFUNCTION("""COMPUTED_VALUE"""),"treatment")</f>
        <v>treatment</v>
      </c>
      <c r="D1269" s="1" t="str">
        <f>IFERROR(__xludf.DUMMYFUNCTION("""COMPUTED_VALUE"""),"new_page")</f>
        <v>new_page</v>
      </c>
      <c r="E1269" s="1">
        <f>IFERROR(__xludf.DUMMYFUNCTION("""COMPUTED_VALUE"""),0.0)</f>
        <v>0</v>
      </c>
    </row>
    <row r="1270">
      <c r="A1270" s="1">
        <f>IFERROR(__xludf.DUMMYFUNCTION("""COMPUTED_VALUE"""),741443.0)</f>
        <v>741443</v>
      </c>
      <c r="B1270" s="2">
        <f>IFERROR(__xludf.DUMMYFUNCTION("""COMPUTED_VALUE"""),42749.91842972074)</f>
        <v>42749.91843</v>
      </c>
      <c r="C1270" s="1" t="str">
        <f>IFERROR(__xludf.DUMMYFUNCTION("""COMPUTED_VALUE"""),"control")</f>
        <v>control</v>
      </c>
      <c r="D1270" s="1" t="str">
        <f>IFERROR(__xludf.DUMMYFUNCTION("""COMPUTED_VALUE"""),"old_page")</f>
        <v>old_page</v>
      </c>
      <c r="E1270" s="1">
        <f>IFERROR(__xludf.DUMMYFUNCTION("""COMPUTED_VALUE"""),1.0)</f>
        <v>1</v>
      </c>
    </row>
    <row r="1271">
      <c r="A1271" s="1">
        <f>IFERROR(__xludf.DUMMYFUNCTION("""COMPUTED_VALUE"""),768641.0)</f>
        <v>768641</v>
      </c>
      <c r="B1271" s="2">
        <f>IFERROR(__xludf.DUMMYFUNCTION("""COMPUTED_VALUE"""),42738.82168203901)</f>
        <v>42738.82168</v>
      </c>
      <c r="C1271" s="1" t="str">
        <f>IFERROR(__xludf.DUMMYFUNCTION("""COMPUTED_VALUE"""),"control")</f>
        <v>control</v>
      </c>
      <c r="D1271" s="1" t="str">
        <f>IFERROR(__xludf.DUMMYFUNCTION("""COMPUTED_VALUE"""),"old_page")</f>
        <v>old_page</v>
      </c>
      <c r="E1271" s="1">
        <f>IFERROR(__xludf.DUMMYFUNCTION("""COMPUTED_VALUE"""),0.0)</f>
        <v>0</v>
      </c>
    </row>
    <row r="1272">
      <c r="A1272" s="1">
        <f>IFERROR(__xludf.DUMMYFUNCTION("""COMPUTED_VALUE"""),941424.0)</f>
        <v>941424</v>
      </c>
      <c r="B1272" s="2">
        <f>IFERROR(__xludf.DUMMYFUNCTION("""COMPUTED_VALUE"""),42747.74985510963)</f>
        <v>42747.74986</v>
      </c>
      <c r="C1272" s="1" t="str">
        <f>IFERROR(__xludf.DUMMYFUNCTION("""COMPUTED_VALUE"""),"control")</f>
        <v>control</v>
      </c>
      <c r="D1272" s="1" t="str">
        <f>IFERROR(__xludf.DUMMYFUNCTION("""COMPUTED_VALUE"""),"old_page")</f>
        <v>old_page</v>
      </c>
      <c r="E1272" s="1">
        <f>IFERROR(__xludf.DUMMYFUNCTION("""COMPUTED_VALUE"""),0.0)</f>
        <v>0</v>
      </c>
    </row>
    <row r="1273">
      <c r="A1273" s="1">
        <f>IFERROR(__xludf.DUMMYFUNCTION("""COMPUTED_VALUE"""),941769.0)</f>
        <v>941769</v>
      </c>
      <c r="B1273" s="2">
        <f>IFERROR(__xludf.DUMMYFUNCTION("""COMPUTED_VALUE"""),42745.32398530127)</f>
        <v>42745.32399</v>
      </c>
      <c r="C1273" s="1" t="str">
        <f>IFERROR(__xludf.DUMMYFUNCTION("""COMPUTED_VALUE"""),"treatment")</f>
        <v>treatment</v>
      </c>
      <c r="D1273" s="1" t="str">
        <f>IFERROR(__xludf.DUMMYFUNCTION("""COMPUTED_VALUE"""),"new_page")</f>
        <v>new_page</v>
      </c>
      <c r="E1273" s="1">
        <f>IFERROR(__xludf.DUMMYFUNCTION("""COMPUTED_VALUE"""),0.0)</f>
        <v>0</v>
      </c>
    </row>
    <row r="1274">
      <c r="A1274" s="1">
        <f>IFERROR(__xludf.DUMMYFUNCTION("""COMPUTED_VALUE"""),716092.0)</f>
        <v>716092</v>
      </c>
      <c r="B1274" s="2">
        <f>IFERROR(__xludf.DUMMYFUNCTION("""COMPUTED_VALUE"""),42739.90457340422)</f>
        <v>42739.90457</v>
      </c>
      <c r="C1274" s="1" t="str">
        <f>IFERROR(__xludf.DUMMYFUNCTION("""COMPUTED_VALUE"""),"control")</f>
        <v>control</v>
      </c>
      <c r="D1274" s="1" t="str">
        <f>IFERROR(__xludf.DUMMYFUNCTION("""COMPUTED_VALUE"""),"old_page")</f>
        <v>old_page</v>
      </c>
      <c r="E1274" s="1">
        <f>IFERROR(__xludf.DUMMYFUNCTION("""COMPUTED_VALUE"""),0.0)</f>
        <v>0</v>
      </c>
    </row>
    <row r="1275">
      <c r="A1275" s="1">
        <f>IFERROR(__xludf.DUMMYFUNCTION("""COMPUTED_VALUE"""),681403.0)</f>
        <v>681403</v>
      </c>
      <c r="B1275" s="2">
        <f>IFERROR(__xludf.DUMMYFUNCTION("""COMPUTED_VALUE"""),42746.34674103674)</f>
        <v>42746.34674</v>
      </c>
      <c r="C1275" s="1" t="str">
        <f>IFERROR(__xludf.DUMMYFUNCTION("""COMPUTED_VALUE"""),"control")</f>
        <v>control</v>
      </c>
      <c r="D1275" s="1" t="str">
        <f>IFERROR(__xludf.DUMMYFUNCTION("""COMPUTED_VALUE"""),"old_page")</f>
        <v>old_page</v>
      </c>
      <c r="E1275" s="1">
        <f>IFERROR(__xludf.DUMMYFUNCTION("""COMPUTED_VALUE"""),0.0)</f>
        <v>0</v>
      </c>
    </row>
    <row r="1276">
      <c r="A1276" s="1">
        <f>IFERROR(__xludf.DUMMYFUNCTION("""COMPUTED_VALUE"""),915023.0)</f>
        <v>915023</v>
      </c>
      <c r="B1276" s="2">
        <f>IFERROR(__xludf.DUMMYFUNCTION("""COMPUTED_VALUE"""),42756.70555016759)</f>
        <v>42756.70555</v>
      </c>
      <c r="C1276" s="1" t="str">
        <f>IFERROR(__xludf.DUMMYFUNCTION("""COMPUTED_VALUE"""),"treatment")</f>
        <v>treatment</v>
      </c>
      <c r="D1276" s="1" t="str">
        <f>IFERROR(__xludf.DUMMYFUNCTION("""COMPUTED_VALUE"""),"new_page")</f>
        <v>new_page</v>
      </c>
      <c r="E1276" s="1">
        <f>IFERROR(__xludf.DUMMYFUNCTION("""COMPUTED_VALUE"""),0.0)</f>
        <v>0</v>
      </c>
    </row>
    <row r="1277">
      <c r="A1277" s="1">
        <f>IFERROR(__xludf.DUMMYFUNCTION("""COMPUTED_VALUE"""),662761.0)</f>
        <v>662761</v>
      </c>
      <c r="B1277" s="2">
        <f>IFERROR(__xludf.DUMMYFUNCTION("""COMPUTED_VALUE"""),42747.83825769167)</f>
        <v>42747.83826</v>
      </c>
      <c r="C1277" s="1" t="str">
        <f>IFERROR(__xludf.DUMMYFUNCTION("""COMPUTED_VALUE"""),"treatment")</f>
        <v>treatment</v>
      </c>
      <c r="D1277" s="1" t="str">
        <f>IFERROR(__xludf.DUMMYFUNCTION("""COMPUTED_VALUE"""),"new_page")</f>
        <v>new_page</v>
      </c>
      <c r="E1277" s="1">
        <f>IFERROR(__xludf.DUMMYFUNCTION("""COMPUTED_VALUE"""),0.0)</f>
        <v>0</v>
      </c>
    </row>
    <row r="1278">
      <c r="A1278" s="1">
        <f>IFERROR(__xludf.DUMMYFUNCTION("""COMPUTED_VALUE"""),901195.0)</f>
        <v>901195</v>
      </c>
      <c r="B1278" s="2">
        <f>IFERROR(__xludf.DUMMYFUNCTION("""COMPUTED_VALUE"""),42743.06220884852)</f>
        <v>42743.06221</v>
      </c>
      <c r="C1278" s="1" t="str">
        <f>IFERROR(__xludf.DUMMYFUNCTION("""COMPUTED_VALUE"""),"treatment")</f>
        <v>treatment</v>
      </c>
      <c r="D1278" s="1" t="str">
        <f>IFERROR(__xludf.DUMMYFUNCTION("""COMPUTED_VALUE"""),"new_page")</f>
        <v>new_page</v>
      </c>
      <c r="E1278" s="1">
        <f>IFERROR(__xludf.DUMMYFUNCTION("""COMPUTED_VALUE"""),0.0)</f>
        <v>0</v>
      </c>
    </row>
    <row r="1279">
      <c r="A1279" s="1">
        <f>IFERROR(__xludf.DUMMYFUNCTION("""COMPUTED_VALUE"""),873945.0)</f>
        <v>873945</v>
      </c>
      <c r="B1279" s="2">
        <f>IFERROR(__xludf.DUMMYFUNCTION("""COMPUTED_VALUE"""),42738.00634960065)</f>
        <v>42738.00635</v>
      </c>
      <c r="C1279" s="1" t="str">
        <f>IFERROR(__xludf.DUMMYFUNCTION("""COMPUTED_VALUE"""),"control")</f>
        <v>control</v>
      </c>
      <c r="D1279" s="1" t="str">
        <f>IFERROR(__xludf.DUMMYFUNCTION("""COMPUTED_VALUE"""),"old_page")</f>
        <v>old_page</v>
      </c>
      <c r="E1279" s="1">
        <f>IFERROR(__xludf.DUMMYFUNCTION("""COMPUTED_VALUE"""),1.0)</f>
        <v>1</v>
      </c>
    </row>
    <row r="1280">
      <c r="A1280" s="1">
        <f>IFERROR(__xludf.DUMMYFUNCTION("""COMPUTED_VALUE"""),900897.0)</f>
        <v>900897</v>
      </c>
      <c r="B1280" s="2">
        <f>IFERROR(__xludf.DUMMYFUNCTION("""COMPUTED_VALUE"""),42759.17706137813)</f>
        <v>42759.17706</v>
      </c>
      <c r="C1280" s="1" t="str">
        <f>IFERROR(__xludf.DUMMYFUNCTION("""COMPUTED_VALUE"""),"treatment")</f>
        <v>treatment</v>
      </c>
      <c r="D1280" s="1" t="str">
        <f>IFERROR(__xludf.DUMMYFUNCTION("""COMPUTED_VALUE"""),"new_page")</f>
        <v>new_page</v>
      </c>
      <c r="E1280" s="1">
        <f>IFERROR(__xludf.DUMMYFUNCTION("""COMPUTED_VALUE"""),0.0)</f>
        <v>0</v>
      </c>
    </row>
    <row r="1281">
      <c r="A1281" s="1">
        <f>IFERROR(__xludf.DUMMYFUNCTION("""COMPUTED_VALUE"""),674498.0)</f>
        <v>674498</v>
      </c>
      <c r="B1281" s="2">
        <f>IFERROR(__xludf.DUMMYFUNCTION("""COMPUTED_VALUE"""),42746.24405635521)</f>
        <v>42746.24406</v>
      </c>
      <c r="C1281" s="1" t="str">
        <f>IFERROR(__xludf.DUMMYFUNCTION("""COMPUTED_VALUE"""),"control")</f>
        <v>control</v>
      </c>
      <c r="D1281" s="1" t="str">
        <f>IFERROR(__xludf.DUMMYFUNCTION("""COMPUTED_VALUE"""),"old_page")</f>
        <v>old_page</v>
      </c>
      <c r="E1281" s="1">
        <f>IFERROR(__xludf.DUMMYFUNCTION("""COMPUTED_VALUE"""),0.0)</f>
        <v>0</v>
      </c>
    </row>
    <row r="1282">
      <c r="A1282" s="1">
        <f>IFERROR(__xludf.DUMMYFUNCTION("""COMPUTED_VALUE"""),939676.0)</f>
        <v>939676</v>
      </c>
      <c r="B1282" s="2">
        <f>IFERROR(__xludf.DUMMYFUNCTION("""COMPUTED_VALUE"""),42746.401247365924)</f>
        <v>42746.40125</v>
      </c>
      <c r="C1282" s="1" t="str">
        <f>IFERROR(__xludf.DUMMYFUNCTION("""COMPUTED_VALUE"""),"treatment")</f>
        <v>treatment</v>
      </c>
      <c r="D1282" s="1" t="str">
        <f>IFERROR(__xludf.DUMMYFUNCTION("""COMPUTED_VALUE"""),"new_page")</f>
        <v>new_page</v>
      </c>
      <c r="E1282" s="1">
        <f>IFERROR(__xludf.DUMMYFUNCTION("""COMPUTED_VALUE"""),1.0)</f>
        <v>1</v>
      </c>
    </row>
    <row r="1283">
      <c r="A1283" s="1">
        <f>IFERROR(__xludf.DUMMYFUNCTION("""COMPUTED_VALUE"""),804370.0)</f>
        <v>804370</v>
      </c>
      <c r="B1283" s="2">
        <f>IFERROR(__xludf.DUMMYFUNCTION("""COMPUTED_VALUE"""),42742.25093788398)</f>
        <v>42742.25094</v>
      </c>
      <c r="C1283" s="1" t="str">
        <f>IFERROR(__xludf.DUMMYFUNCTION("""COMPUTED_VALUE"""),"treatment")</f>
        <v>treatment</v>
      </c>
      <c r="D1283" s="1" t="str">
        <f>IFERROR(__xludf.DUMMYFUNCTION("""COMPUTED_VALUE"""),"new_page")</f>
        <v>new_page</v>
      </c>
      <c r="E1283" s="1">
        <f>IFERROR(__xludf.DUMMYFUNCTION("""COMPUTED_VALUE"""),0.0)</f>
        <v>0</v>
      </c>
    </row>
    <row r="1284">
      <c r="A1284" s="1">
        <f>IFERROR(__xludf.DUMMYFUNCTION("""COMPUTED_VALUE"""),630780.0)</f>
        <v>630780</v>
      </c>
      <c r="B1284" s="2">
        <f>IFERROR(__xludf.DUMMYFUNCTION("""COMPUTED_VALUE"""),42744.42670900294)</f>
        <v>42744.42671</v>
      </c>
      <c r="C1284" s="1" t="str">
        <f>IFERROR(__xludf.DUMMYFUNCTION("""COMPUTED_VALUE"""),"control")</f>
        <v>control</v>
      </c>
      <c r="D1284" s="1" t="str">
        <f>IFERROR(__xludf.DUMMYFUNCTION("""COMPUTED_VALUE"""),"old_page")</f>
        <v>old_page</v>
      </c>
      <c r="E1284" s="1">
        <f>IFERROR(__xludf.DUMMYFUNCTION("""COMPUTED_VALUE"""),0.0)</f>
        <v>0</v>
      </c>
    </row>
    <row r="1285">
      <c r="A1285" s="1">
        <f>IFERROR(__xludf.DUMMYFUNCTION("""COMPUTED_VALUE"""),903809.0)</f>
        <v>903809</v>
      </c>
      <c r="B1285" s="2">
        <f>IFERROR(__xludf.DUMMYFUNCTION("""COMPUTED_VALUE"""),42744.82374559692)</f>
        <v>42744.82375</v>
      </c>
      <c r="C1285" s="1" t="str">
        <f>IFERROR(__xludf.DUMMYFUNCTION("""COMPUTED_VALUE"""),"control")</f>
        <v>control</v>
      </c>
      <c r="D1285" s="1" t="str">
        <f>IFERROR(__xludf.DUMMYFUNCTION("""COMPUTED_VALUE"""),"old_page")</f>
        <v>old_page</v>
      </c>
      <c r="E1285" s="1">
        <f>IFERROR(__xludf.DUMMYFUNCTION("""COMPUTED_VALUE"""),0.0)</f>
        <v>0</v>
      </c>
    </row>
    <row r="1286">
      <c r="A1286" s="1">
        <f>IFERROR(__xludf.DUMMYFUNCTION("""COMPUTED_VALUE"""),936978.0)</f>
        <v>936978</v>
      </c>
      <c r="B1286" s="2">
        <f>IFERROR(__xludf.DUMMYFUNCTION("""COMPUTED_VALUE"""),42741.72935196854)</f>
        <v>42741.72935</v>
      </c>
      <c r="C1286" s="1" t="str">
        <f>IFERROR(__xludf.DUMMYFUNCTION("""COMPUTED_VALUE"""),"control")</f>
        <v>control</v>
      </c>
      <c r="D1286" s="1" t="str">
        <f>IFERROR(__xludf.DUMMYFUNCTION("""COMPUTED_VALUE"""),"old_page")</f>
        <v>old_page</v>
      </c>
      <c r="E1286" s="1">
        <f>IFERROR(__xludf.DUMMYFUNCTION("""COMPUTED_VALUE"""),0.0)</f>
        <v>0</v>
      </c>
    </row>
    <row r="1287">
      <c r="A1287" s="1">
        <f>IFERROR(__xludf.DUMMYFUNCTION("""COMPUTED_VALUE"""),940958.0)</f>
        <v>940958</v>
      </c>
      <c r="B1287" s="2">
        <f>IFERROR(__xludf.DUMMYFUNCTION("""COMPUTED_VALUE"""),42756.58260217132)</f>
        <v>42756.5826</v>
      </c>
      <c r="C1287" s="1" t="str">
        <f>IFERROR(__xludf.DUMMYFUNCTION("""COMPUTED_VALUE"""),"treatment")</f>
        <v>treatment</v>
      </c>
      <c r="D1287" s="1" t="str">
        <f>IFERROR(__xludf.DUMMYFUNCTION("""COMPUTED_VALUE"""),"new_page")</f>
        <v>new_page</v>
      </c>
      <c r="E1287" s="1">
        <f>IFERROR(__xludf.DUMMYFUNCTION("""COMPUTED_VALUE"""),0.0)</f>
        <v>0</v>
      </c>
    </row>
    <row r="1288">
      <c r="A1288" s="1">
        <f>IFERROR(__xludf.DUMMYFUNCTION("""COMPUTED_VALUE"""),695068.0)</f>
        <v>695068</v>
      </c>
      <c r="B1288" s="2">
        <f>IFERROR(__xludf.DUMMYFUNCTION("""COMPUTED_VALUE"""),42743.74323058869)</f>
        <v>42743.74323</v>
      </c>
      <c r="C1288" s="1" t="str">
        <f>IFERROR(__xludf.DUMMYFUNCTION("""COMPUTED_VALUE"""),"treatment")</f>
        <v>treatment</v>
      </c>
      <c r="D1288" s="1" t="str">
        <f>IFERROR(__xludf.DUMMYFUNCTION("""COMPUTED_VALUE"""),"new_page")</f>
        <v>new_page</v>
      </c>
      <c r="E1288" s="1">
        <f>IFERROR(__xludf.DUMMYFUNCTION("""COMPUTED_VALUE"""),0.0)</f>
        <v>0</v>
      </c>
    </row>
    <row r="1289">
      <c r="A1289" s="1">
        <f>IFERROR(__xludf.DUMMYFUNCTION("""COMPUTED_VALUE"""),738150.0)</f>
        <v>738150</v>
      </c>
      <c r="B1289" s="2">
        <f>IFERROR(__xludf.DUMMYFUNCTION("""COMPUTED_VALUE"""),42753.46505464657)</f>
        <v>42753.46505</v>
      </c>
      <c r="C1289" s="1" t="str">
        <f>IFERROR(__xludf.DUMMYFUNCTION("""COMPUTED_VALUE"""),"control")</f>
        <v>control</v>
      </c>
      <c r="D1289" s="1" t="str">
        <f>IFERROR(__xludf.DUMMYFUNCTION("""COMPUTED_VALUE"""),"old_page")</f>
        <v>old_page</v>
      </c>
      <c r="E1289" s="1">
        <f>IFERROR(__xludf.DUMMYFUNCTION("""COMPUTED_VALUE"""),0.0)</f>
        <v>0</v>
      </c>
    </row>
    <row r="1290">
      <c r="A1290" s="1">
        <f>IFERROR(__xludf.DUMMYFUNCTION("""COMPUTED_VALUE"""),717954.0)</f>
        <v>717954</v>
      </c>
      <c r="B1290" s="2">
        <f>IFERROR(__xludf.DUMMYFUNCTION("""COMPUTED_VALUE"""),42754.638958070165)</f>
        <v>42754.63896</v>
      </c>
      <c r="C1290" s="1" t="str">
        <f>IFERROR(__xludf.DUMMYFUNCTION("""COMPUTED_VALUE"""),"control")</f>
        <v>control</v>
      </c>
      <c r="D1290" s="1" t="str">
        <f>IFERROR(__xludf.DUMMYFUNCTION("""COMPUTED_VALUE"""),"old_page")</f>
        <v>old_page</v>
      </c>
      <c r="E1290" s="1">
        <f>IFERROR(__xludf.DUMMYFUNCTION("""COMPUTED_VALUE"""),0.0)</f>
        <v>0</v>
      </c>
    </row>
    <row r="1291">
      <c r="A1291" s="1">
        <f>IFERROR(__xludf.DUMMYFUNCTION("""COMPUTED_VALUE"""),855351.0)</f>
        <v>855351</v>
      </c>
      <c r="B1291" s="2">
        <f>IFERROR(__xludf.DUMMYFUNCTION("""COMPUTED_VALUE"""),42739.35171551282)</f>
        <v>42739.35172</v>
      </c>
      <c r="C1291" s="1" t="str">
        <f>IFERROR(__xludf.DUMMYFUNCTION("""COMPUTED_VALUE"""),"control")</f>
        <v>control</v>
      </c>
      <c r="D1291" s="1" t="str">
        <f>IFERROR(__xludf.DUMMYFUNCTION("""COMPUTED_VALUE"""),"old_page")</f>
        <v>old_page</v>
      </c>
      <c r="E1291" s="1">
        <f>IFERROR(__xludf.DUMMYFUNCTION("""COMPUTED_VALUE"""),0.0)</f>
        <v>0</v>
      </c>
    </row>
    <row r="1292">
      <c r="A1292" s="1">
        <f>IFERROR(__xludf.DUMMYFUNCTION("""COMPUTED_VALUE"""),784489.0)</f>
        <v>784489</v>
      </c>
      <c r="B1292" s="2">
        <f>IFERROR(__xludf.DUMMYFUNCTION("""COMPUTED_VALUE"""),42746.416201525164)</f>
        <v>42746.4162</v>
      </c>
      <c r="C1292" s="1" t="str">
        <f>IFERROR(__xludf.DUMMYFUNCTION("""COMPUTED_VALUE"""),"control")</f>
        <v>control</v>
      </c>
      <c r="D1292" s="1" t="str">
        <f>IFERROR(__xludf.DUMMYFUNCTION("""COMPUTED_VALUE"""),"old_page")</f>
        <v>old_page</v>
      </c>
      <c r="E1292" s="1">
        <f>IFERROR(__xludf.DUMMYFUNCTION("""COMPUTED_VALUE"""),0.0)</f>
        <v>0</v>
      </c>
    </row>
    <row r="1293">
      <c r="A1293" s="1">
        <f>IFERROR(__xludf.DUMMYFUNCTION("""COMPUTED_VALUE"""),941264.0)</f>
        <v>941264</v>
      </c>
      <c r="B1293" s="2">
        <f>IFERROR(__xludf.DUMMYFUNCTION("""COMPUTED_VALUE"""),42749.166478187006)</f>
        <v>42749.16648</v>
      </c>
      <c r="C1293" s="1" t="str">
        <f>IFERROR(__xludf.DUMMYFUNCTION("""COMPUTED_VALUE"""),"control")</f>
        <v>control</v>
      </c>
      <c r="D1293" s="1" t="str">
        <f>IFERROR(__xludf.DUMMYFUNCTION("""COMPUTED_VALUE"""),"old_page")</f>
        <v>old_page</v>
      </c>
      <c r="E1293" s="1">
        <f>IFERROR(__xludf.DUMMYFUNCTION("""COMPUTED_VALUE"""),0.0)</f>
        <v>0</v>
      </c>
    </row>
    <row r="1294">
      <c r="A1294" s="1">
        <f>IFERROR(__xludf.DUMMYFUNCTION("""COMPUTED_VALUE"""),863178.0)</f>
        <v>863178</v>
      </c>
      <c r="B1294" s="2">
        <f>IFERROR(__xludf.DUMMYFUNCTION("""COMPUTED_VALUE"""),42750.39193207992)</f>
        <v>42750.39193</v>
      </c>
      <c r="C1294" s="1" t="str">
        <f>IFERROR(__xludf.DUMMYFUNCTION("""COMPUTED_VALUE"""),"treatment")</f>
        <v>treatment</v>
      </c>
      <c r="D1294" s="1" t="str">
        <f>IFERROR(__xludf.DUMMYFUNCTION("""COMPUTED_VALUE"""),"new_page")</f>
        <v>new_page</v>
      </c>
      <c r="E1294" s="1">
        <f>IFERROR(__xludf.DUMMYFUNCTION("""COMPUTED_VALUE"""),0.0)</f>
        <v>0</v>
      </c>
    </row>
    <row r="1295">
      <c r="A1295" s="1">
        <f>IFERROR(__xludf.DUMMYFUNCTION("""COMPUTED_VALUE"""),718530.0)</f>
        <v>718530</v>
      </c>
      <c r="B1295" s="2">
        <f>IFERROR(__xludf.DUMMYFUNCTION("""COMPUTED_VALUE"""),42739.90706423172)</f>
        <v>42739.90706</v>
      </c>
      <c r="C1295" s="1" t="str">
        <f>IFERROR(__xludf.DUMMYFUNCTION("""COMPUTED_VALUE"""),"treatment")</f>
        <v>treatment</v>
      </c>
      <c r="D1295" s="1" t="str">
        <f>IFERROR(__xludf.DUMMYFUNCTION("""COMPUTED_VALUE"""),"new_page")</f>
        <v>new_page</v>
      </c>
      <c r="E1295" s="1">
        <f>IFERROR(__xludf.DUMMYFUNCTION("""COMPUTED_VALUE"""),0.0)</f>
        <v>0</v>
      </c>
    </row>
    <row r="1296">
      <c r="A1296" s="1">
        <f>IFERROR(__xludf.DUMMYFUNCTION("""COMPUTED_VALUE"""),839468.0)</f>
        <v>839468</v>
      </c>
      <c r="B1296" s="2">
        <f>IFERROR(__xludf.DUMMYFUNCTION("""COMPUTED_VALUE"""),42752.137238656236)</f>
        <v>42752.13724</v>
      </c>
      <c r="C1296" s="1" t="str">
        <f>IFERROR(__xludf.DUMMYFUNCTION("""COMPUTED_VALUE"""),"treatment")</f>
        <v>treatment</v>
      </c>
      <c r="D1296" s="1" t="str">
        <f>IFERROR(__xludf.DUMMYFUNCTION("""COMPUTED_VALUE"""),"new_page")</f>
        <v>new_page</v>
      </c>
      <c r="E1296" s="1">
        <f>IFERROR(__xludf.DUMMYFUNCTION("""COMPUTED_VALUE"""),0.0)</f>
        <v>0</v>
      </c>
    </row>
    <row r="1297">
      <c r="A1297" s="1">
        <f>IFERROR(__xludf.DUMMYFUNCTION("""COMPUTED_VALUE"""),911599.0)</f>
        <v>911599</v>
      </c>
      <c r="B1297" s="2">
        <f>IFERROR(__xludf.DUMMYFUNCTION("""COMPUTED_VALUE"""),42750.16924418889)</f>
        <v>42750.16924</v>
      </c>
      <c r="C1297" s="1" t="str">
        <f>IFERROR(__xludf.DUMMYFUNCTION("""COMPUTED_VALUE"""),"control")</f>
        <v>control</v>
      </c>
      <c r="D1297" s="1" t="str">
        <f>IFERROR(__xludf.DUMMYFUNCTION("""COMPUTED_VALUE"""),"old_page")</f>
        <v>old_page</v>
      </c>
      <c r="E1297" s="1">
        <f>IFERROR(__xludf.DUMMYFUNCTION("""COMPUTED_VALUE"""),0.0)</f>
        <v>0</v>
      </c>
    </row>
    <row r="1298">
      <c r="A1298" s="1">
        <f>IFERROR(__xludf.DUMMYFUNCTION("""COMPUTED_VALUE"""),688484.0)</f>
        <v>688484</v>
      </c>
      <c r="B1298" s="2">
        <f>IFERROR(__xludf.DUMMYFUNCTION("""COMPUTED_VALUE"""),42758.84280065822)</f>
        <v>42758.8428</v>
      </c>
      <c r="C1298" s="1" t="str">
        <f>IFERROR(__xludf.DUMMYFUNCTION("""COMPUTED_VALUE"""),"control")</f>
        <v>control</v>
      </c>
      <c r="D1298" s="1" t="str">
        <f>IFERROR(__xludf.DUMMYFUNCTION("""COMPUTED_VALUE"""),"old_page")</f>
        <v>old_page</v>
      </c>
      <c r="E1298" s="1">
        <f>IFERROR(__xludf.DUMMYFUNCTION("""COMPUTED_VALUE"""),0.0)</f>
        <v>0</v>
      </c>
    </row>
    <row r="1299">
      <c r="A1299" s="1">
        <f>IFERROR(__xludf.DUMMYFUNCTION("""COMPUTED_VALUE"""),790497.0)</f>
        <v>790497</v>
      </c>
      <c r="B1299" s="2">
        <f>IFERROR(__xludf.DUMMYFUNCTION("""COMPUTED_VALUE"""),42750.557443568956)</f>
        <v>42750.55744</v>
      </c>
      <c r="C1299" s="1" t="str">
        <f>IFERROR(__xludf.DUMMYFUNCTION("""COMPUTED_VALUE"""),"treatment")</f>
        <v>treatment</v>
      </c>
      <c r="D1299" s="1" t="str">
        <f>IFERROR(__xludf.DUMMYFUNCTION("""COMPUTED_VALUE"""),"new_page")</f>
        <v>new_page</v>
      </c>
      <c r="E1299" s="1">
        <f>IFERROR(__xludf.DUMMYFUNCTION("""COMPUTED_VALUE"""),0.0)</f>
        <v>0</v>
      </c>
    </row>
    <row r="1300">
      <c r="A1300" s="1">
        <f>IFERROR(__xludf.DUMMYFUNCTION("""COMPUTED_VALUE"""),665155.0)</f>
        <v>665155</v>
      </c>
      <c r="B1300" s="2">
        <f>IFERROR(__xludf.DUMMYFUNCTION("""COMPUTED_VALUE"""),42756.55784234239)</f>
        <v>42756.55784</v>
      </c>
      <c r="C1300" s="1" t="str">
        <f>IFERROR(__xludf.DUMMYFUNCTION("""COMPUTED_VALUE"""),"treatment")</f>
        <v>treatment</v>
      </c>
      <c r="D1300" s="1" t="str">
        <f>IFERROR(__xludf.DUMMYFUNCTION("""COMPUTED_VALUE"""),"new_page")</f>
        <v>new_page</v>
      </c>
      <c r="E1300" s="1">
        <f>IFERROR(__xludf.DUMMYFUNCTION("""COMPUTED_VALUE"""),0.0)</f>
        <v>0</v>
      </c>
    </row>
    <row r="1301">
      <c r="A1301" s="1">
        <f>IFERROR(__xludf.DUMMYFUNCTION("""COMPUTED_VALUE"""),659830.0)</f>
        <v>659830</v>
      </c>
      <c r="B1301" s="2">
        <f>IFERROR(__xludf.DUMMYFUNCTION("""COMPUTED_VALUE"""),42753.250428660125)</f>
        <v>42753.25043</v>
      </c>
      <c r="C1301" s="1" t="str">
        <f>IFERROR(__xludf.DUMMYFUNCTION("""COMPUTED_VALUE"""),"treatment")</f>
        <v>treatment</v>
      </c>
      <c r="D1301" s="1" t="str">
        <f>IFERROR(__xludf.DUMMYFUNCTION("""COMPUTED_VALUE"""),"new_page")</f>
        <v>new_page</v>
      </c>
      <c r="E1301" s="1">
        <f>IFERROR(__xludf.DUMMYFUNCTION("""COMPUTED_VALUE"""),0.0)</f>
        <v>0</v>
      </c>
    </row>
    <row r="1302">
      <c r="A1302" s="1">
        <f>IFERROR(__xludf.DUMMYFUNCTION("""COMPUTED_VALUE"""),757482.0)</f>
        <v>757482</v>
      </c>
      <c r="B1302" s="2">
        <f>IFERROR(__xludf.DUMMYFUNCTION("""COMPUTED_VALUE"""),42740.926420286574)</f>
        <v>42740.92642</v>
      </c>
      <c r="C1302" s="1" t="str">
        <f>IFERROR(__xludf.DUMMYFUNCTION("""COMPUTED_VALUE"""),"treatment")</f>
        <v>treatment</v>
      </c>
      <c r="D1302" s="1" t="str">
        <f>IFERROR(__xludf.DUMMYFUNCTION("""COMPUTED_VALUE"""),"new_page")</f>
        <v>new_page</v>
      </c>
      <c r="E1302" s="1">
        <f>IFERROR(__xludf.DUMMYFUNCTION("""COMPUTED_VALUE"""),0.0)</f>
        <v>0</v>
      </c>
    </row>
    <row r="1303">
      <c r="A1303" s="1">
        <f>IFERROR(__xludf.DUMMYFUNCTION("""COMPUTED_VALUE"""),914881.0)</f>
        <v>914881</v>
      </c>
      <c r="B1303" s="2">
        <f>IFERROR(__xludf.DUMMYFUNCTION("""COMPUTED_VALUE"""),42751.18950529302)</f>
        <v>42751.18951</v>
      </c>
      <c r="C1303" s="1" t="str">
        <f>IFERROR(__xludf.DUMMYFUNCTION("""COMPUTED_VALUE"""),"control")</f>
        <v>control</v>
      </c>
      <c r="D1303" s="1" t="str">
        <f>IFERROR(__xludf.DUMMYFUNCTION("""COMPUTED_VALUE"""),"old_page")</f>
        <v>old_page</v>
      </c>
      <c r="E1303" s="1">
        <f>IFERROR(__xludf.DUMMYFUNCTION("""COMPUTED_VALUE"""),1.0)</f>
        <v>1</v>
      </c>
    </row>
    <row r="1304">
      <c r="A1304" s="1">
        <f>IFERROR(__xludf.DUMMYFUNCTION("""COMPUTED_VALUE"""),873770.0)</f>
        <v>873770</v>
      </c>
      <c r="B1304" s="2">
        <f>IFERROR(__xludf.DUMMYFUNCTION("""COMPUTED_VALUE"""),42743.000673077266)</f>
        <v>42743.00067</v>
      </c>
      <c r="C1304" s="1" t="str">
        <f>IFERROR(__xludf.DUMMYFUNCTION("""COMPUTED_VALUE"""),"control")</f>
        <v>control</v>
      </c>
      <c r="D1304" s="1" t="str">
        <f>IFERROR(__xludf.DUMMYFUNCTION("""COMPUTED_VALUE"""),"old_page")</f>
        <v>old_page</v>
      </c>
      <c r="E1304" s="1">
        <f>IFERROR(__xludf.DUMMYFUNCTION("""COMPUTED_VALUE"""),0.0)</f>
        <v>0</v>
      </c>
    </row>
    <row r="1305">
      <c r="A1305" s="1">
        <f>IFERROR(__xludf.DUMMYFUNCTION("""COMPUTED_VALUE"""),814603.0)</f>
        <v>814603</v>
      </c>
      <c r="B1305" s="2">
        <f>IFERROR(__xludf.DUMMYFUNCTION("""COMPUTED_VALUE"""),42753.084882657015)</f>
        <v>42753.08488</v>
      </c>
      <c r="C1305" s="1" t="str">
        <f>IFERROR(__xludf.DUMMYFUNCTION("""COMPUTED_VALUE"""),"control")</f>
        <v>control</v>
      </c>
      <c r="D1305" s="1" t="str">
        <f>IFERROR(__xludf.DUMMYFUNCTION("""COMPUTED_VALUE"""),"old_page")</f>
        <v>old_page</v>
      </c>
      <c r="E1305" s="1">
        <f>IFERROR(__xludf.DUMMYFUNCTION("""COMPUTED_VALUE"""),1.0)</f>
        <v>1</v>
      </c>
    </row>
    <row r="1306">
      <c r="A1306" s="1">
        <f>IFERROR(__xludf.DUMMYFUNCTION("""COMPUTED_VALUE"""),696719.0)</f>
        <v>696719</v>
      </c>
      <c r="B1306" s="2">
        <f>IFERROR(__xludf.DUMMYFUNCTION("""COMPUTED_VALUE"""),42757.472831138046)</f>
        <v>42757.47283</v>
      </c>
      <c r="C1306" s="1" t="str">
        <f>IFERROR(__xludf.DUMMYFUNCTION("""COMPUTED_VALUE"""),"control")</f>
        <v>control</v>
      </c>
      <c r="D1306" s="1" t="str">
        <f>IFERROR(__xludf.DUMMYFUNCTION("""COMPUTED_VALUE"""),"old_page")</f>
        <v>old_page</v>
      </c>
      <c r="E1306" s="1">
        <f>IFERROR(__xludf.DUMMYFUNCTION("""COMPUTED_VALUE"""),0.0)</f>
        <v>0</v>
      </c>
    </row>
    <row r="1307">
      <c r="A1307" s="1">
        <f>IFERROR(__xludf.DUMMYFUNCTION("""COMPUTED_VALUE"""),885718.0)</f>
        <v>885718</v>
      </c>
      <c r="B1307" s="2">
        <f>IFERROR(__xludf.DUMMYFUNCTION("""COMPUTED_VALUE"""),42757.18769751312)</f>
        <v>42757.1877</v>
      </c>
      <c r="C1307" s="1" t="str">
        <f>IFERROR(__xludf.DUMMYFUNCTION("""COMPUTED_VALUE"""),"treatment")</f>
        <v>treatment</v>
      </c>
      <c r="D1307" s="1" t="str">
        <f>IFERROR(__xludf.DUMMYFUNCTION("""COMPUTED_VALUE"""),"new_page")</f>
        <v>new_page</v>
      </c>
      <c r="E1307" s="1">
        <f>IFERROR(__xludf.DUMMYFUNCTION("""COMPUTED_VALUE"""),0.0)</f>
        <v>0</v>
      </c>
    </row>
    <row r="1308">
      <c r="A1308" s="1">
        <f>IFERROR(__xludf.DUMMYFUNCTION("""COMPUTED_VALUE"""),844960.0)</f>
        <v>844960</v>
      </c>
      <c r="B1308" s="2">
        <f>IFERROR(__xludf.DUMMYFUNCTION("""COMPUTED_VALUE"""),42753.954894286)</f>
        <v>42753.95489</v>
      </c>
      <c r="C1308" s="1" t="str">
        <f>IFERROR(__xludf.DUMMYFUNCTION("""COMPUTED_VALUE"""),"control")</f>
        <v>control</v>
      </c>
      <c r="D1308" s="1" t="str">
        <f>IFERROR(__xludf.DUMMYFUNCTION("""COMPUTED_VALUE"""),"old_page")</f>
        <v>old_page</v>
      </c>
      <c r="E1308" s="1">
        <f>IFERROR(__xludf.DUMMYFUNCTION("""COMPUTED_VALUE"""),0.0)</f>
        <v>0</v>
      </c>
    </row>
    <row r="1309">
      <c r="A1309" s="1">
        <f>IFERROR(__xludf.DUMMYFUNCTION("""COMPUTED_VALUE"""),710401.0)</f>
        <v>710401</v>
      </c>
      <c r="B1309" s="2">
        <f>IFERROR(__xludf.DUMMYFUNCTION("""COMPUTED_VALUE"""),42738.51845921448)</f>
        <v>42738.51846</v>
      </c>
      <c r="C1309" s="1" t="str">
        <f>IFERROR(__xludf.DUMMYFUNCTION("""COMPUTED_VALUE"""),"control")</f>
        <v>control</v>
      </c>
      <c r="D1309" s="1" t="str">
        <f>IFERROR(__xludf.DUMMYFUNCTION("""COMPUTED_VALUE"""),"old_page")</f>
        <v>old_page</v>
      </c>
      <c r="E1309" s="1">
        <f>IFERROR(__xludf.DUMMYFUNCTION("""COMPUTED_VALUE"""),1.0)</f>
        <v>1</v>
      </c>
    </row>
    <row r="1310">
      <c r="A1310" s="1">
        <f>IFERROR(__xludf.DUMMYFUNCTION("""COMPUTED_VALUE"""),711091.0)</f>
        <v>711091</v>
      </c>
      <c r="B1310" s="2">
        <f>IFERROR(__xludf.DUMMYFUNCTION("""COMPUTED_VALUE"""),42744.77356540977)</f>
        <v>42744.77357</v>
      </c>
      <c r="C1310" s="1" t="str">
        <f>IFERROR(__xludf.DUMMYFUNCTION("""COMPUTED_VALUE"""),"treatment")</f>
        <v>treatment</v>
      </c>
      <c r="D1310" s="1" t="str">
        <f>IFERROR(__xludf.DUMMYFUNCTION("""COMPUTED_VALUE"""),"new_page")</f>
        <v>new_page</v>
      </c>
      <c r="E1310" s="1">
        <f>IFERROR(__xludf.DUMMYFUNCTION("""COMPUTED_VALUE"""),0.0)</f>
        <v>0</v>
      </c>
    </row>
    <row r="1311">
      <c r="A1311" s="1">
        <f>IFERROR(__xludf.DUMMYFUNCTION("""COMPUTED_VALUE"""),697925.0)</f>
        <v>697925</v>
      </c>
      <c r="B1311" s="2">
        <f>IFERROR(__xludf.DUMMYFUNCTION("""COMPUTED_VALUE"""),42743.72986559331)</f>
        <v>42743.72987</v>
      </c>
      <c r="C1311" s="1" t="str">
        <f>IFERROR(__xludf.DUMMYFUNCTION("""COMPUTED_VALUE"""),"treatment")</f>
        <v>treatment</v>
      </c>
      <c r="D1311" s="1" t="str">
        <f>IFERROR(__xludf.DUMMYFUNCTION("""COMPUTED_VALUE"""),"new_page")</f>
        <v>new_page</v>
      </c>
      <c r="E1311" s="1">
        <f>IFERROR(__xludf.DUMMYFUNCTION("""COMPUTED_VALUE"""),0.0)</f>
        <v>0</v>
      </c>
    </row>
    <row r="1312">
      <c r="A1312" s="1">
        <f>IFERROR(__xludf.DUMMYFUNCTION("""COMPUTED_VALUE"""),760632.0)</f>
        <v>760632</v>
      </c>
      <c r="B1312" s="2">
        <f>IFERROR(__xludf.DUMMYFUNCTION("""COMPUTED_VALUE"""),42753.49917120352)</f>
        <v>42753.49917</v>
      </c>
      <c r="C1312" s="1" t="str">
        <f>IFERROR(__xludf.DUMMYFUNCTION("""COMPUTED_VALUE"""),"treatment")</f>
        <v>treatment</v>
      </c>
      <c r="D1312" s="1" t="str">
        <f>IFERROR(__xludf.DUMMYFUNCTION("""COMPUTED_VALUE"""),"new_page")</f>
        <v>new_page</v>
      </c>
      <c r="E1312" s="1">
        <f>IFERROR(__xludf.DUMMYFUNCTION("""COMPUTED_VALUE"""),1.0)</f>
        <v>1</v>
      </c>
    </row>
    <row r="1313">
      <c r="A1313" s="1">
        <f>IFERROR(__xludf.DUMMYFUNCTION("""COMPUTED_VALUE"""),668205.0)</f>
        <v>668205</v>
      </c>
      <c r="B1313" s="2">
        <f>IFERROR(__xludf.DUMMYFUNCTION("""COMPUTED_VALUE"""),42750.05756235756)</f>
        <v>42750.05756</v>
      </c>
      <c r="C1313" s="1" t="str">
        <f>IFERROR(__xludf.DUMMYFUNCTION("""COMPUTED_VALUE"""),"treatment")</f>
        <v>treatment</v>
      </c>
      <c r="D1313" s="1" t="str">
        <f>IFERROR(__xludf.DUMMYFUNCTION("""COMPUTED_VALUE"""),"new_page")</f>
        <v>new_page</v>
      </c>
      <c r="E1313" s="1">
        <f>IFERROR(__xludf.DUMMYFUNCTION("""COMPUTED_VALUE"""),0.0)</f>
        <v>0</v>
      </c>
    </row>
    <row r="1314">
      <c r="A1314" s="1">
        <f>IFERROR(__xludf.DUMMYFUNCTION("""COMPUTED_VALUE"""),686960.0)</f>
        <v>686960</v>
      </c>
      <c r="B1314" s="2">
        <f>IFERROR(__xludf.DUMMYFUNCTION("""COMPUTED_VALUE"""),42743.64691525324)</f>
        <v>42743.64692</v>
      </c>
      <c r="C1314" s="1" t="str">
        <f>IFERROR(__xludf.DUMMYFUNCTION("""COMPUTED_VALUE"""),"control")</f>
        <v>control</v>
      </c>
      <c r="D1314" s="1" t="str">
        <f>IFERROR(__xludf.DUMMYFUNCTION("""COMPUTED_VALUE"""),"old_page")</f>
        <v>old_page</v>
      </c>
      <c r="E1314" s="1">
        <f>IFERROR(__xludf.DUMMYFUNCTION("""COMPUTED_VALUE"""),0.0)</f>
        <v>0</v>
      </c>
    </row>
    <row r="1315">
      <c r="A1315" s="1">
        <f>IFERROR(__xludf.DUMMYFUNCTION("""COMPUTED_VALUE"""),869175.0)</f>
        <v>869175</v>
      </c>
      <c r="B1315" s="2">
        <f>IFERROR(__xludf.DUMMYFUNCTION("""COMPUTED_VALUE"""),42753.38703333486)</f>
        <v>42753.38703</v>
      </c>
      <c r="C1315" s="1" t="str">
        <f>IFERROR(__xludf.DUMMYFUNCTION("""COMPUTED_VALUE"""),"treatment")</f>
        <v>treatment</v>
      </c>
      <c r="D1315" s="1" t="str">
        <f>IFERROR(__xludf.DUMMYFUNCTION("""COMPUTED_VALUE"""),"new_page")</f>
        <v>new_page</v>
      </c>
      <c r="E1315" s="1">
        <f>IFERROR(__xludf.DUMMYFUNCTION("""COMPUTED_VALUE"""),0.0)</f>
        <v>0</v>
      </c>
    </row>
    <row r="1316">
      <c r="A1316" s="1">
        <f>IFERROR(__xludf.DUMMYFUNCTION("""COMPUTED_VALUE"""),652770.0)</f>
        <v>652770</v>
      </c>
      <c r="B1316" s="2">
        <f>IFERROR(__xludf.DUMMYFUNCTION("""COMPUTED_VALUE"""),42754.55042117234)</f>
        <v>42754.55042</v>
      </c>
      <c r="C1316" s="1" t="str">
        <f>IFERROR(__xludf.DUMMYFUNCTION("""COMPUTED_VALUE"""),"treatment")</f>
        <v>treatment</v>
      </c>
      <c r="D1316" s="1" t="str">
        <f>IFERROR(__xludf.DUMMYFUNCTION("""COMPUTED_VALUE"""),"new_page")</f>
        <v>new_page</v>
      </c>
      <c r="E1316" s="1">
        <f>IFERROR(__xludf.DUMMYFUNCTION("""COMPUTED_VALUE"""),1.0)</f>
        <v>1</v>
      </c>
    </row>
    <row r="1317">
      <c r="A1317" s="1">
        <f>IFERROR(__xludf.DUMMYFUNCTION("""COMPUTED_VALUE"""),936202.0)</f>
        <v>936202</v>
      </c>
      <c r="B1317" s="2">
        <f>IFERROR(__xludf.DUMMYFUNCTION("""COMPUTED_VALUE"""),42742.979893708194)</f>
        <v>42742.97989</v>
      </c>
      <c r="C1317" s="1" t="str">
        <f>IFERROR(__xludf.DUMMYFUNCTION("""COMPUTED_VALUE"""),"control")</f>
        <v>control</v>
      </c>
      <c r="D1317" s="1" t="str">
        <f>IFERROR(__xludf.DUMMYFUNCTION("""COMPUTED_VALUE"""),"old_page")</f>
        <v>old_page</v>
      </c>
      <c r="E1317" s="1">
        <f>IFERROR(__xludf.DUMMYFUNCTION("""COMPUTED_VALUE"""),0.0)</f>
        <v>0</v>
      </c>
    </row>
    <row r="1318">
      <c r="A1318" s="1">
        <f>IFERROR(__xludf.DUMMYFUNCTION("""COMPUTED_VALUE"""),938545.0)</f>
        <v>938545</v>
      </c>
      <c r="B1318" s="2">
        <f>IFERROR(__xludf.DUMMYFUNCTION("""COMPUTED_VALUE"""),42758.89549943363)</f>
        <v>42758.8955</v>
      </c>
      <c r="C1318" s="1" t="str">
        <f>IFERROR(__xludf.DUMMYFUNCTION("""COMPUTED_VALUE"""),"treatment")</f>
        <v>treatment</v>
      </c>
      <c r="D1318" s="1" t="str">
        <f>IFERROR(__xludf.DUMMYFUNCTION("""COMPUTED_VALUE"""),"new_page")</f>
        <v>new_page</v>
      </c>
      <c r="E1318" s="1">
        <f>IFERROR(__xludf.DUMMYFUNCTION("""COMPUTED_VALUE"""),0.0)</f>
        <v>0</v>
      </c>
    </row>
    <row r="1319">
      <c r="A1319" s="1">
        <f>IFERROR(__xludf.DUMMYFUNCTION("""COMPUTED_VALUE"""),756220.0)</f>
        <v>756220</v>
      </c>
      <c r="B1319" s="2">
        <f>IFERROR(__xludf.DUMMYFUNCTION("""COMPUTED_VALUE"""),42743.6065476762)</f>
        <v>42743.60655</v>
      </c>
      <c r="C1319" s="1" t="str">
        <f>IFERROR(__xludf.DUMMYFUNCTION("""COMPUTED_VALUE"""),"control")</f>
        <v>control</v>
      </c>
      <c r="D1319" s="1" t="str">
        <f>IFERROR(__xludf.DUMMYFUNCTION("""COMPUTED_VALUE"""),"old_page")</f>
        <v>old_page</v>
      </c>
      <c r="E1319" s="1">
        <f>IFERROR(__xludf.DUMMYFUNCTION("""COMPUTED_VALUE"""),0.0)</f>
        <v>0</v>
      </c>
    </row>
    <row r="1320">
      <c r="A1320" s="1">
        <f>IFERROR(__xludf.DUMMYFUNCTION("""COMPUTED_VALUE"""),767445.0)</f>
        <v>767445</v>
      </c>
      <c r="B1320" s="2">
        <f>IFERROR(__xludf.DUMMYFUNCTION("""COMPUTED_VALUE"""),42740.692006555095)</f>
        <v>42740.69201</v>
      </c>
      <c r="C1320" s="1" t="str">
        <f>IFERROR(__xludf.DUMMYFUNCTION("""COMPUTED_VALUE"""),"control")</f>
        <v>control</v>
      </c>
      <c r="D1320" s="1" t="str">
        <f>IFERROR(__xludf.DUMMYFUNCTION("""COMPUTED_VALUE"""),"old_page")</f>
        <v>old_page</v>
      </c>
      <c r="E1320" s="1">
        <f>IFERROR(__xludf.DUMMYFUNCTION("""COMPUTED_VALUE"""),0.0)</f>
        <v>0</v>
      </c>
    </row>
    <row r="1321">
      <c r="A1321" s="1">
        <f>IFERROR(__xludf.DUMMYFUNCTION("""COMPUTED_VALUE"""),943991.0)</f>
        <v>943991</v>
      </c>
      <c r="B1321" s="2">
        <f>IFERROR(__xludf.DUMMYFUNCTION("""COMPUTED_VALUE"""),42753.59490105698)</f>
        <v>42753.5949</v>
      </c>
      <c r="C1321" s="1" t="str">
        <f>IFERROR(__xludf.DUMMYFUNCTION("""COMPUTED_VALUE"""),"control")</f>
        <v>control</v>
      </c>
      <c r="D1321" s="1" t="str">
        <f>IFERROR(__xludf.DUMMYFUNCTION("""COMPUTED_VALUE"""),"old_page")</f>
        <v>old_page</v>
      </c>
      <c r="E1321" s="1">
        <f>IFERROR(__xludf.DUMMYFUNCTION("""COMPUTED_VALUE"""),0.0)</f>
        <v>0</v>
      </c>
    </row>
    <row r="1322">
      <c r="A1322" s="1">
        <f>IFERROR(__xludf.DUMMYFUNCTION("""COMPUTED_VALUE"""),756719.0)</f>
        <v>756719</v>
      </c>
      <c r="B1322" s="2">
        <f>IFERROR(__xludf.DUMMYFUNCTION("""COMPUTED_VALUE"""),42749.516647696575)</f>
        <v>42749.51665</v>
      </c>
      <c r="C1322" s="1" t="str">
        <f>IFERROR(__xludf.DUMMYFUNCTION("""COMPUTED_VALUE"""),"control")</f>
        <v>control</v>
      </c>
      <c r="D1322" s="1" t="str">
        <f>IFERROR(__xludf.DUMMYFUNCTION("""COMPUTED_VALUE"""),"old_page")</f>
        <v>old_page</v>
      </c>
      <c r="E1322" s="1">
        <f>IFERROR(__xludf.DUMMYFUNCTION("""COMPUTED_VALUE"""),0.0)</f>
        <v>0</v>
      </c>
    </row>
    <row r="1323">
      <c r="A1323" s="1">
        <f>IFERROR(__xludf.DUMMYFUNCTION("""COMPUTED_VALUE"""),860973.0)</f>
        <v>860973</v>
      </c>
      <c r="B1323" s="2">
        <f>IFERROR(__xludf.DUMMYFUNCTION("""COMPUTED_VALUE"""),42739.88713222078)</f>
        <v>42739.88713</v>
      </c>
      <c r="C1323" s="1" t="str">
        <f>IFERROR(__xludf.DUMMYFUNCTION("""COMPUTED_VALUE"""),"treatment")</f>
        <v>treatment</v>
      </c>
      <c r="D1323" s="1" t="str">
        <f>IFERROR(__xludf.DUMMYFUNCTION("""COMPUTED_VALUE"""),"new_page")</f>
        <v>new_page</v>
      </c>
      <c r="E1323" s="1">
        <f>IFERROR(__xludf.DUMMYFUNCTION("""COMPUTED_VALUE"""),0.0)</f>
        <v>0</v>
      </c>
    </row>
    <row r="1324">
      <c r="A1324" s="1">
        <f>IFERROR(__xludf.DUMMYFUNCTION("""COMPUTED_VALUE"""),856636.0)</f>
        <v>856636</v>
      </c>
      <c r="B1324" s="2">
        <f>IFERROR(__xludf.DUMMYFUNCTION("""COMPUTED_VALUE"""),42739.34291845625)</f>
        <v>42739.34292</v>
      </c>
      <c r="C1324" s="1" t="str">
        <f>IFERROR(__xludf.DUMMYFUNCTION("""COMPUTED_VALUE"""),"control")</f>
        <v>control</v>
      </c>
      <c r="D1324" s="1" t="str">
        <f>IFERROR(__xludf.DUMMYFUNCTION("""COMPUTED_VALUE"""),"old_page")</f>
        <v>old_page</v>
      </c>
      <c r="E1324" s="1">
        <f>IFERROR(__xludf.DUMMYFUNCTION("""COMPUTED_VALUE"""),0.0)</f>
        <v>0</v>
      </c>
    </row>
    <row r="1325">
      <c r="A1325" s="1">
        <f>IFERROR(__xludf.DUMMYFUNCTION("""COMPUTED_VALUE"""),715870.0)</f>
        <v>715870</v>
      </c>
      <c r="B1325" s="2">
        <f>IFERROR(__xludf.DUMMYFUNCTION("""COMPUTED_VALUE"""),42748.76628634897)</f>
        <v>42748.76629</v>
      </c>
      <c r="C1325" s="1" t="str">
        <f>IFERROR(__xludf.DUMMYFUNCTION("""COMPUTED_VALUE"""),"control")</f>
        <v>control</v>
      </c>
      <c r="D1325" s="1" t="str">
        <f>IFERROR(__xludf.DUMMYFUNCTION("""COMPUTED_VALUE"""),"old_page")</f>
        <v>old_page</v>
      </c>
      <c r="E1325" s="1">
        <f>IFERROR(__xludf.DUMMYFUNCTION("""COMPUTED_VALUE"""),0.0)</f>
        <v>0</v>
      </c>
    </row>
    <row r="1326">
      <c r="A1326" s="1">
        <f>IFERROR(__xludf.DUMMYFUNCTION("""COMPUTED_VALUE"""),853010.0)</f>
        <v>853010</v>
      </c>
      <c r="B1326" s="2">
        <f>IFERROR(__xludf.DUMMYFUNCTION("""COMPUTED_VALUE"""),42745.29289430429)</f>
        <v>42745.29289</v>
      </c>
      <c r="C1326" s="1" t="str">
        <f>IFERROR(__xludf.DUMMYFUNCTION("""COMPUTED_VALUE"""),"control")</f>
        <v>control</v>
      </c>
      <c r="D1326" s="1" t="str">
        <f>IFERROR(__xludf.DUMMYFUNCTION("""COMPUTED_VALUE"""),"old_page")</f>
        <v>old_page</v>
      </c>
      <c r="E1326" s="1">
        <f>IFERROR(__xludf.DUMMYFUNCTION("""COMPUTED_VALUE"""),0.0)</f>
        <v>0</v>
      </c>
    </row>
    <row r="1327">
      <c r="A1327" s="1">
        <f>IFERROR(__xludf.DUMMYFUNCTION("""COMPUTED_VALUE"""),852606.0)</f>
        <v>852606</v>
      </c>
      <c r="B1327" s="2">
        <f>IFERROR(__xludf.DUMMYFUNCTION("""COMPUTED_VALUE"""),42746.87765560007)</f>
        <v>42746.87766</v>
      </c>
      <c r="C1327" s="1" t="str">
        <f>IFERROR(__xludf.DUMMYFUNCTION("""COMPUTED_VALUE"""),"control")</f>
        <v>control</v>
      </c>
      <c r="D1327" s="1" t="str">
        <f>IFERROR(__xludf.DUMMYFUNCTION("""COMPUTED_VALUE"""),"old_page")</f>
        <v>old_page</v>
      </c>
      <c r="E1327" s="1">
        <f>IFERROR(__xludf.DUMMYFUNCTION("""COMPUTED_VALUE"""),0.0)</f>
        <v>0</v>
      </c>
    </row>
    <row r="1328">
      <c r="A1328" s="1">
        <f>IFERROR(__xludf.DUMMYFUNCTION("""COMPUTED_VALUE"""),865184.0)</f>
        <v>865184</v>
      </c>
      <c r="B1328" s="2">
        <f>IFERROR(__xludf.DUMMYFUNCTION("""COMPUTED_VALUE"""),42756.61864590029)</f>
        <v>42756.61865</v>
      </c>
      <c r="C1328" s="1" t="str">
        <f>IFERROR(__xludf.DUMMYFUNCTION("""COMPUTED_VALUE"""),"treatment")</f>
        <v>treatment</v>
      </c>
      <c r="D1328" s="1" t="str">
        <f>IFERROR(__xludf.DUMMYFUNCTION("""COMPUTED_VALUE"""),"new_page")</f>
        <v>new_page</v>
      </c>
      <c r="E1328" s="1">
        <f>IFERROR(__xludf.DUMMYFUNCTION("""COMPUTED_VALUE"""),0.0)</f>
        <v>0</v>
      </c>
    </row>
    <row r="1329">
      <c r="A1329" s="1">
        <f>IFERROR(__xludf.DUMMYFUNCTION("""COMPUTED_VALUE"""),816786.0)</f>
        <v>816786</v>
      </c>
      <c r="B1329" s="2">
        <f>IFERROR(__xludf.DUMMYFUNCTION("""COMPUTED_VALUE"""),42754.753033738285)</f>
        <v>42754.75303</v>
      </c>
      <c r="C1329" s="1" t="str">
        <f>IFERROR(__xludf.DUMMYFUNCTION("""COMPUTED_VALUE"""),"treatment")</f>
        <v>treatment</v>
      </c>
      <c r="D1329" s="1" t="str">
        <f>IFERROR(__xludf.DUMMYFUNCTION("""COMPUTED_VALUE"""),"new_page")</f>
        <v>new_page</v>
      </c>
      <c r="E1329" s="1">
        <f>IFERROR(__xludf.DUMMYFUNCTION("""COMPUTED_VALUE"""),0.0)</f>
        <v>0</v>
      </c>
    </row>
    <row r="1330">
      <c r="A1330" s="1">
        <f>IFERROR(__xludf.DUMMYFUNCTION("""COMPUTED_VALUE"""),854238.0)</f>
        <v>854238</v>
      </c>
      <c r="B1330" s="2">
        <f>IFERROR(__xludf.DUMMYFUNCTION("""COMPUTED_VALUE"""),42746.600407708)</f>
        <v>42746.60041</v>
      </c>
      <c r="C1330" s="1" t="str">
        <f>IFERROR(__xludf.DUMMYFUNCTION("""COMPUTED_VALUE"""),"control")</f>
        <v>control</v>
      </c>
      <c r="D1330" s="1" t="str">
        <f>IFERROR(__xludf.DUMMYFUNCTION("""COMPUTED_VALUE"""),"old_page")</f>
        <v>old_page</v>
      </c>
      <c r="E1330" s="1">
        <f>IFERROR(__xludf.DUMMYFUNCTION("""COMPUTED_VALUE"""),0.0)</f>
        <v>0</v>
      </c>
    </row>
    <row r="1331">
      <c r="A1331" s="1">
        <f>IFERROR(__xludf.DUMMYFUNCTION("""COMPUTED_VALUE"""),636165.0)</f>
        <v>636165</v>
      </c>
      <c r="B1331" s="2">
        <f>IFERROR(__xludf.DUMMYFUNCTION("""COMPUTED_VALUE"""),42745.919641357556)</f>
        <v>42745.91964</v>
      </c>
      <c r="C1331" s="1" t="str">
        <f>IFERROR(__xludf.DUMMYFUNCTION("""COMPUTED_VALUE"""),"control")</f>
        <v>control</v>
      </c>
      <c r="D1331" s="1" t="str">
        <f>IFERROR(__xludf.DUMMYFUNCTION("""COMPUTED_VALUE"""),"old_page")</f>
        <v>old_page</v>
      </c>
      <c r="E1331" s="1">
        <f>IFERROR(__xludf.DUMMYFUNCTION("""COMPUTED_VALUE"""),0.0)</f>
        <v>0</v>
      </c>
    </row>
    <row r="1332">
      <c r="A1332" s="1">
        <f>IFERROR(__xludf.DUMMYFUNCTION("""COMPUTED_VALUE"""),695656.0)</f>
        <v>695656</v>
      </c>
      <c r="B1332" s="2">
        <f>IFERROR(__xludf.DUMMYFUNCTION("""COMPUTED_VALUE"""),42740.161408944026)</f>
        <v>42740.16141</v>
      </c>
      <c r="C1332" s="1" t="str">
        <f>IFERROR(__xludf.DUMMYFUNCTION("""COMPUTED_VALUE"""),"treatment")</f>
        <v>treatment</v>
      </c>
      <c r="D1332" s="1" t="str">
        <f>IFERROR(__xludf.DUMMYFUNCTION("""COMPUTED_VALUE"""),"new_page")</f>
        <v>new_page</v>
      </c>
      <c r="E1332" s="1">
        <f>IFERROR(__xludf.DUMMYFUNCTION("""COMPUTED_VALUE"""),0.0)</f>
        <v>0</v>
      </c>
    </row>
    <row r="1333">
      <c r="A1333" s="1">
        <f>IFERROR(__xludf.DUMMYFUNCTION("""COMPUTED_VALUE"""),778620.0)</f>
        <v>778620</v>
      </c>
      <c r="B1333" s="2">
        <f>IFERROR(__xludf.DUMMYFUNCTION("""COMPUTED_VALUE"""),42740.00358115035)</f>
        <v>42740.00358</v>
      </c>
      <c r="C1333" s="1" t="str">
        <f>IFERROR(__xludf.DUMMYFUNCTION("""COMPUTED_VALUE"""),"control")</f>
        <v>control</v>
      </c>
      <c r="D1333" s="1" t="str">
        <f>IFERROR(__xludf.DUMMYFUNCTION("""COMPUTED_VALUE"""),"old_page")</f>
        <v>old_page</v>
      </c>
      <c r="E1333" s="1">
        <f>IFERROR(__xludf.DUMMYFUNCTION("""COMPUTED_VALUE"""),0.0)</f>
        <v>0</v>
      </c>
    </row>
    <row r="1334">
      <c r="A1334" s="1">
        <f>IFERROR(__xludf.DUMMYFUNCTION("""COMPUTED_VALUE"""),879591.0)</f>
        <v>879591</v>
      </c>
      <c r="B1334" s="2">
        <f>IFERROR(__xludf.DUMMYFUNCTION("""COMPUTED_VALUE"""),42742.724727056884)</f>
        <v>42742.72473</v>
      </c>
      <c r="C1334" s="1" t="str">
        <f>IFERROR(__xludf.DUMMYFUNCTION("""COMPUTED_VALUE"""),"control")</f>
        <v>control</v>
      </c>
      <c r="D1334" s="1" t="str">
        <f>IFERROR(__xludf.DUMMYFUNCTION("""COMPUTED_VALUE"""),"old_page")</f>
        <v>old_page</v>
      </c>
      <c r="E1334" s="1">
        <f>IFERROR(__xludf.DUMMYFUNCTION("""COMPUTED_VALUE"""),0.0)</f>
        <v>0</v>
      </c>
    </row>
    <row r="1335">
      <c r="A1335" s="1">
        <f>IFERROR(__xludf.DUMMYFUNCTION("""COMPUTED_VALUE"""),630292.0)</f>
        <v>630292</v>
      </c>
      <c r="B1335" s="2">
        <f>IFERROR(__xludf.DUMMYFUNCTION("""COMPUTED_VALUE"""),42759.05018969837)</f>
        <v>42759.05019</v>
      </c>
      <c r="C1335" s="1" t="str">
        <f>IFERROR(__xludf.DUMMYFUNCTION("""COMPUTED_VALUE"""),"control")</f>
        <v>control</v>
      </c>
      <c r="D1335" s="1" t="str">
        <f>IFERROR(__xludf.DUMMYFUNCTION("""COMPUTED_VALUE"""),"old_page")</f>
        <v>old_page</v>
      </c>
      <c r="E1335" s="1">
        <f>IFERROR(__xludf.DUMMYFUNCTION("""COMPUTED_VALUE"""),0.0)</f>
        <v>0</v>
      </c>
    </row>
    <row r="1336">
      <c r="A1336" s="1">
        <f>IFERROR(__xludf.DUMMYFUNCTION("""COMPUTED_VALUE"""),758912.0)</f>
        <v>758912</v>
      </c>
      <c r="B1336" s="2">
        <f>IFERROR(__xludf.DUMMYFUNCTION("""COMPUTED_VALUE"""),42750.546279263435)</f>
        <v>42750.54628</v>
      </c>
      <c r="C1336" s="1" t="str">
        <f>IFERROR(__xludf.DUMMYFUNCTION("""COMPUTED_VALUE"""),"control")</f>
        <v>control</v>
      </c>
      <c r="D1336" s="1" t="str">
        <f>IFERROR(__xludf.DUMMYFUNCTION("""COMPUTED_VALUE"""),"old_page")</f>
        <v>old_page</v>
      </c>
      <c r="E1336" s="1">
        <f>IFERROR(__xludf.DUMMYFUNCTION("""COMPUTED_VALUE"""),0.0)</f>
        <v>0</v>
      </c>
    </row>
    <row r="1337">
      <c r="A1337" s="1">
        <f>IFERROR(__xludf.DUMMYFUNCTION("""COMPUTED_VALUE"""),777170.0)</f>
        <v>777170</v>
      </c>
      <c r="B1337" s="2">
        <f>IFERROR(__xludf.DUMMYFUNCTION("""COMPUTED_VALUE"""),42746.84694833016)</f>
        <v>42746.84695</v>
      </c>
      <c r="C1337" s="1" t="str">
        <f>IFERROR(__xludf.DUMMYFUNCTION("""COMPUTED_VALUE"""),"treatment")</f>
        <v>treatment</v>
      </c>
      <c r="D1337" s="1" t="str">
        <f>IFERROR(__xludf.DUMMYFUNCTION("""COMPUTED_VALUE"""),"new_page")</f>
        <v>new_page</v>
      </c>
      <c r="E1337" s="1">
        <f>IFERROR(__xludf.DUMMYFUNCTION("""COMPUTED_VALUE"""),1.0)</f>
        <v>1</v>
      </c>
    </row>
    <row r="1338">
      <c r="A1338" s="1">
        <f>IFERROR(__xludf.DUMMYFUNCTION("""COMPUTED_VALUE"""),875502.0)</f>
        <v>875502</v>
      </c>
      <c r="B1338" s="2">
        <f>IFERROR(__xludf.DUMMYFUNCTION("""COMPUTED_VALUE"""),42743.20406464714)</f>
        <v>42743.20406</v>
      </c>
      <c r="C1338" s="1" t="str">
        <f>IFERROR(__xludf.DUMMYFUNCTION("""COMPUTED_VALUE"""),"treatment")</f>
        <v>treatment</v>
      </c>
      <c r="D1338" s="1" t="str">
        <f>IFERROR(__xludf.DUMMYFUNCTION("""COMPUTED_VALUE"""),"new_page")</f>
        <v>new_page</v>
      </c>
      <c r="E1338" s="1">
        <f>IFERROR(__xludf.DUMMYFUNCTION("""COMPUTED_VALUE"""),0.0)</f>
        <v>0</v>
      </c>
    </row>
    <row r="1339">
      <c r="A1339" s="1">
        <f>IFERROR(__xludf.DUMMYFUNCTION("""COMPUTED_VALUE"""),741250.0)</f>
        <v>741250</v>
      </c>
      <c r="B1339" s="2">
        <f>IFERROR(__xludf.DUMMYFUNCTION("""COMPUTED_VALUE"""),42756.969343570316)</f>
        <v>42756.96934</v>
      </c>
      <c r="C1339" s="1" t="str">
        <f>IFERROR(__xludf.DUMMYFUNCTION("""COMPUTED_VALUE"""),"control")</f>
        <v>control</v>
      </c>
      <c r="D1339" s="1" t="str">
        <f>IFERROR(__xludf.DUMMYFUNCTION("""COMPUTED_VALUE"""),"old_page")</f>
        <v>old_page</v>
      </c>
      <c r="E1339" s="1">
        <f>IFERROR(__xludf.DUMMYFUNCTION("""COMPUTED_VALUE"""),0.0)</f>
        <v>0</v>
      </c>
    </row>
    <row r="1340">
      <c r="A1340" s="1">
        <f>IFERROR(__xludf.DUMMYFUNCTION("""COMPUTED_VALUE"""),683484.0)</f>
        <v>683484</v>
      </c>
      <c r="B1340" s="2">
        <f>IFERROR(__xludf.DUMMYFUNCTION("""COMPUTED_VALUE"""),42752.55313383293)</f>
        <v>42752.55313</v>
      </c>
      <c r="C1340" s="1" t="str">
        <f>IFERROR(__xludf.DUMMYFUNCTION("""COMPUTED_VALUE"""),"control")</f>
        <v>control</v>
      </c>
      <c r="D1340" s="1" t="str">
        <f>IFERROR(__xludf.DUMMYFUNCTION("""COMPUTED_VALUE"""),"old_page")</f>
        <v>old_page</v>
      </c>
      <c r="E1340" s="1">
        <f>IFERROR(__xludf.DUMMYFUNCTION("""COMPUTED_VALUE"""),0.0)</f>
        <v>0</v>
      </c>
    </row>
    <row r="1341">
      <c r="A1341" s="1">
        <f>IFERROR(__xludf.DUMMYFUNCTION("""COMPUTED_VALUE"""),770898.0)</f>
        <v>770898</v>
      </c>
      <c r="B1341" s="2">
        <f>IFERROR(__xludf.DUMMYFUNCTION("""COMPUTED_VALUE"""),42751.89147665965)</f>
        <v>42751.89148</v>
      </c>
      <c r="C1341" s="1" t="str">
        <f>IFERROR(__xludf.DUMMYFUNCTION("""COMPUTED_VALUE"""),"control")</f>
        <v>control</v>
      </c>
      <c r="D1341" s="1" t="str">
        <f>IFERROR(__xludf.DUMMYFUNCTION("""COMPUTED_VALUE"""),"old_page")</f>
        <v>old_page</v>
      </c>
      <c r="E1341" s="1">
        <f>IFERROR(__xludf.DUMMYFUNCTION("""COMPUTED_VALUE"""),1.0)</f>
        <v>1</v>
      </c>
    </row>
    <row r="1342">
      <c r="A1342" s="1">
        <f>IFERROR(__xludf.DUMMYFUNCTION("""COMPUTED_VALUE"""),678197.0)</f>
        <v>678197</v>
      </c>
      <c r="B1342" s="2">
        <f>IFERROR(__xludf.DUMMYFUNCTION("""COMPUTED_VALUE"""),42743.73727918406)</f>
        <v>42743.73728</v>
      </c>
      <c r="C1342" s="1" t="str">
        <f>IFERROR(__xludf.DUMMYFUNCTION("""COMPUTED_VALUE"""),"control")</f>
        <v>control</v>
      </c>
      <c r="D1342" s="1" t="str">
        <f>IFERROR(__xludf.DUMMYFUNCTION("""COMPUTED_VALUE"""),"old_page")</f>
        <v>old_page</v>
      </c>
      <c r="E1342" s="1">
        <f>IFERROR(__xludf.DUMMYFUNCTION("""COMPUTED_VALUE"""),0.0)</f>
        <v>0</v>
      </c>
    </row>
    <row r="1343">
      <c r="A1343" s="1">
        <f>IFERROR(__xludf.DUMMYFUNCTION("""COMPUTED_VALUE"""),694461.0)</f>
        <v>694461</v>
      </c>
      <c r="B1343" s="2">
        <f>IFERROR(__xludf.DUMMYFUNCTION("""COMPUTED_VALUE"""),42738.16379856863)</f>
        <v>42738.1638</v>
      </c>
      <c r="C1343" s="1" t="str">
        <f>IFERROR(__xludf.DUMMYFUNCTION("""COMPUTED_VALUE"""),"treatment")</f>
        <v>treatment</v>
      </c>
      <c r="D1343" s="1" t="str">
        <f>IFERROR(__xludf.DUMMYFUNCTION("""COMPUTED_VALUE"""),"new_page")</f>
        <v>new_page</v>
      </c>
      <c r="E1343" s="1">
        <f>IFERROR(__xludf.DUMMYFUNCTION("""COMPUTED_VALUE"""),0.0)</f>
        <v>0</v>
      </c>
    </row>
    <row r="1344">
      <c r="A1344" s="1">
        <f>IFERROR(__xludf.DUMMYFUNCTION("""COMPUTED_VALUE"""),901448.0)</f>
        <v>901448</v>
      </c>
      <c r="B1344" s="2">
        <f>IFERROR(__xludf.DUMMYFUNCTION("""COMPUTED_VALUE"""),42745.61878606009)</f>
        <v>42745.61879</v>
      </c>
      <c r="C1344" s="1" t="str">
        <f>IFERROR(__xludf.DUMMYFUNCTION("""COMPUTED_VALUE"""),"treatment")</f>
        <v>treatment</v>
      </c>
      <c r="D1344" s="1" t="str">
        <f>IFERROR(__xludf.DUMMYFUNCTION("""COMPUTED_VALUE"""),"new_page")</f>
        <v>new_page</v>
      </c>
      <c r="E1344" s="1">
        <f>IFERROR(__xludf.DUMMYFUNCTION("""COMPUTED_VALUE"""),1.0)</f>
        <v>1</v>
      </c>
    </row>
    <row r="1345">
      <c r="A1345" s="1">
        <f>IFERROR(__xludf.DUMMYFUNCTION("""COMPUTED_VALUE"""),693749.0)</f>
        <v>693749</v>
      </c>
      <c r="B1345" s="2">
        <f>IFERROR(__xludf.DUMMYFUNCTION("""COMPUTED_VALUE"""),42742.43773500517)</f>
        <v>42742.43774</v>
      </c>
      <c r="C1345" s="1" t="str">
        <f>IFERROR(__xludf.DUMMYFUNCTION("""COMPUTED_VALUE"""),"control")</f>
        <v>control</v>
      </c>
      <c r="D1345" s="1" t="str">
        <f>IFERROR(__xludf.DUMMYFUNCTION("""COMPUTED_VALUE"""),"old_page")</f>
        <v>old_page</v>
      </c>
      <c r="E1345" s="1">
        <f>IFERROR(__xludf.DUMMYFUNCTION("""COMPUTED_VALUE"""),0.0)</f>
        <v>0</v>
      </c>
    </row>
    <row r="1346">
      <c r="A1346" s="1">
        <f>IFERROR(__xludf.DUMMYFUNCTION("""COMPUTED_VALUE"""),690436.0)</f>
        <v>690436</v>
      </c>
      <c r="B1346" s="2">
        <f>IFERROR(__xludf.DUMMYFUNCTION("""COMPUTED_VALUE"""),42748.81684912646)</f>
        <v>42748.81685</v>
      </c>
      <c r="C1346" s="1" t="str">
        <f>IFERROR(__xludf.DUMMYFUNCTION("""COMPUTED_VALUE"""),"treatment")</f>
        <v>treatment</v>
      </c>
      <c r="D1346" s="1" t="str">
        <f>IFERROR(__xludf.DUMMYFUNCTION("""COMPUTED_VALUE"""),"new_page")</f>
        <v>new_page</v>
      </c>
      <c r="E1346" s="1">
        <f>IFERROR(__xludf.DUMMYFUNCTION("""COMPUTED_VALUE"""),1.0)</f>
        <v>1</v>
      </c>
    </row>
    <row r="1347">
      <c r="A1347" s="1">
        <f>IFERROR(__xludf.DUMMYFUNCTION("""COMPUTED_VALUE"""),694362.0)</f>
        <v>694362</v>
      </c>
      <c r="B1347" s="2">
        <f>IFERROR(__xludf.DUMMYFUNCTION("""COMPUTED_VALUE"""),42743.615243388034)</f>
        <v>42743.61524</v>
      </c>
      <c r="C1347" s="1" t="str">
        <f>IFERROR(__xludf.DUMMYFUNCTION("""COMPUTED_VALUE"""),"control")</f>
        <v>control</v>
      </c>
      <c r="D1347" s="1" t="str">
        <f>IFERROR(__xludf.DUMMYFUNCTION("""COMPUTED_VALUE"""),"old_page")</f>
        <v>old_page</v>
      </c>
      <c r="E1347" s="1">
        <f>IFERROR(__xludf.DUMMYFUNCTION("""COMPUTED_VALUE"""),0.0)</f>
        <v>0</v>
      </c>
    </row>
    <row r="1348">
      <c r="A1348" s="1">
        <f>IFERROR(__xludf.DUMMYFUNCTION("""COMPUTED_VALUE"""),688418.0)</f>
        <v>688418</v>
      </c>
      <c r="B1348" s="2">
        <f>IFERROR(__xludf.DUMMYFUNCTION("""COMPUTED_VALUE"""),42748.41433730967)</f>
        <v>42748.41434</v>
      </c>
      <c r="C1348" s="1" t="str">
        <f>IFERROR(__xludf.DUMMYFUNCTION("""COMPUTED_VALUE"""),"control")</f>
        <v>control</v>
      </c>
      <c r="D1348" s="1" t="str">
        <f>IFERROR(__xludf.DUMMYFUNCTION("""COMPUTED_VALUE"""),"old_page")</f>
        <v>old_page</v>
      </c>
      <c r="E1348" s="1">
        <f>IFERROR(__xludf.DUMMYFUNCTION("""COMPUTED_VALUE"""),0.0)</f>
        <v>0</v>
      </c>
    </row>
    <row r="1349">
      <c r="A1349" s="1">
        <f>IFERROR(__xludf.DUMMYFUNCTION("""COMPUTED_VALUE"""),789882.0)</f>
        <v>789882</v>
      </c>
      <c r="B1349" s="2">
        <f>IFERROR(__xludf.DUMMYFUNCTION("""COMPUTED_VALUE"""),42757.557102534076)</f>
        <v>42757.5571</v>
      </c>
      <c r="C1349" s="1" t="str">
        <f>IFERROR(__xludf.DUMMYFUNCTION("""COMPUTED_VALUE"""),"control")</f>
        <v>control</v>
      </c>
      <c r="D1349" s="1" t="str">
        <f>IFERROR(__xludf.DUMMYFUNCTION("""COMPUTED_VALUE"""),"old_page")</f>
        <v>old_page</v>
      </c>
      <c r="E1349" s="1">
        <f>IFERROR(__xludf.DUMMYFUNCTION("""COMPUTED_VALUE"""),1.0)</f>
        <v>1</v>
      </c>
    </row>
    <row r="1350">
      <c r="A1350" s="1">
        <f>IFERROR(__xludf.DUMMYFUNCTION("""COMPUTED_VALUE"""),766699.0)</f>
        <v>766699</v>
      </c>
      <c r="B1350" s="2">
        <f>IFERROR(__xludf.DUMMYFUNCTION("""COMPUTED_VALUE"""),42752.29633369932)</f>
        <v>42752.29633</v>
      </c>
      <c r="C1350" s="1" t="str">
        <f>IFERROR(__xludf.DUMMYFUNCTION("""COMPUTED_VALUE"""),"control")</f>
        <v>control</v>
      </c>
      <c r="D1350" s="1" t="str">
        <f>IFERROR(__xludf.DUMMYFUNCTION("""COMPUTED_VALUE"""),"old_page")</f>
        <v>old_page</v>
      </c>
      <c r="E1350" s="1">
        <f>IFERROR(__xludf.DUMMYFUNCTION("""COMPUTED_VALUE"""),0.0)</f>
        <v>0</v>
      </c>
    </row>
    <row r="1351">
      <c r="A1351" s="1">
        <f>IFERROR(__xludf.DUMMYFUNCTION("""COMPUTED_VALUE"""),904060.0)</f>
        <v>904060</v>
      </c>
      <c r="B1351" s="2">
        <f>IFERROR(__xludf.DUMMYFUNCTION("""COMPUTED_VALUE"""),42759.09747589577)</f>
        <v>42759.09748</v>
      </c>
      <c r="C1351" s="1" t="str">
        <f>IFERROR(__xludf.DUMMYFUNCTION("""COMPUTED_VALUE"""),"treatment")</f>
        <v>treatment</v>
      </c>
      <c r="D1351" s="1" t="str">
        <f>IFERROR(__xludf.DUMMYFUNCTION("""COMPUTED_VALUE"""),"new_page")</f>
        <v>new_page</v>
      </c>
      <c r="E1351" s="1">
        <f>IFERROR(__xludf.DUMMYFUNCTION("""COMPUTED_VALUE"""),0.0)</f>
        <v>0</v>
      </c>
    </row>
    <row r="1352">
      <c r="A1352" s="1">
        <f>IFERROR(__xludf.DUMMYFUNCTION("""COMPUTED_VALUE"""),680902.0)</f>
        <v>680902</v>
      </c>
      <c r="B1352" s="2">
        <f>IFERROR(__xludf.DUMMYFUNCTION("""COMPUTED_VALUE"""),42744.566707118596)</f>
        <v>42744.56671</v>
      </c>
      <c r="C1352" s="1" t="str">
        <f>IFERROR(__xludf.DUMMYFUNCTION("""COMPUTED_VALUE"""),"control")</f>
        <v>control</v>
      </c>
      <c r="D1352" s="1" t="str">
        <f>IFERROR(__xludf.DUMMYFUNCTION("""COMPUTED_VALUE"""),"old_page")</f>
        <v>old_page</v>
      </c>
      <c r="E1352" s="1">
        <f>IFERROR(__xludf.DUMMYFUNCTION("""COMPUTED_VALUE"""),0.0)</f>
        <v>0</v>
      </c>
    </row>
    <row r="1353">
      <c r="A1353" s="1">
        <f>IFERROR(__xludf.DUMMYFUNCTION("""COMPUTED_VALUE"""),898334.0)</f>
        <v>898334</v>
      </c>
      <c r="B1353" s="2">
        <f>IFERROR(__xludf.DUMMYFUNCTION("""COMPUTED_VALUE"""),42754.299225890056)</f>
        <v>42754.29923</v>
      </c>
      <c r="C1353" s="1" t="str">
        <f>IFERROR(__xludf.DUMMYFUNCTION("""COMPUTED_VALUE"""),"treatment")</f>
        <v>treatment</v>
      </c>
      <c r="D1353" s="1" t="str">
        <f>IFERROR(__xludf.DUMMYFUNCTION("""COMPUTED_VALUE"""),"new_page")</f>
        <v>new_page</v>
      </c>
      <c r="E1353" s="1">
        <f>IFERROR(__xludf.DUMMYFUNCTION("""COMPUTED_VALUE"""),0.0)</f>
        <v>0</v>
      </c>
    </row>
    <row r="1354">
      <c r="A1354" s="1">
        <f>IFERROR(__xludf.DUMMYFUNCTION("""COMPUTED_VALUE"""),922080.0)</f>
        <v>922080</v>
      </c>
      <c r="B1354" s="2">
        <f>IFERROR(__xludf.DUMMYFUNCTION("""COMPUTED_VALUE"""),42748.23008916079)</f>
        <v>42748.23009</v>
      </c>
      <c r="C1354" s="1" t="str">
        <f>IFERROR(__xludf.DUMMYFUNCTION("""COMPUTED_VALUE"""),"treatment")</f>
        <v>treatment</v>
      </c>
      <c r="D1354" s="1" t="str">
        <f>IFERROR(__xludf.DUMMYFUNCTION("""COMPUTED_VALUE"""),"new_page")</f>
        <v>new_page</v>
      </c>
      <c r="E1354" s="1">
        <f>IFERROR(__xludf.DUMMYFUNCTION("""COMPUTED_VALUE"""),0.0)</f>
        <v>0</v>
      </c>
    </row>
    <row r="1355">
      <c r="A1355" s="1">
        <f>IFERROR(__xludf.DUMMYFUNCTION("""COMPUTED_VALUE"""),846208.0)</f>
        <v>846208</v>
      </c>
      <c r="B1355" s="2">
        <f>IFERROR(__xludf.DUMMYFUNCTION("""COMPUTED_VALUE"""),42757.241105468216)</f>
        <v>42757.24111</v>
      </c>
      <c r="C1355" s="1" t="str">
        <f>IFERROR(__xludf.DUMMYFUNCTION("""COMPUTED_VALUE"""),"treatment")</f>
        <v>treatment</v>
      </c>
      <c r="D1355" s="1" t="str">
        <f>IFERROR(__xludf.DUMMYFUNCTION("""COMPUTED_VALUE"""),"new_page")</f>
        <v>new_page</v>
      </c>
      <c r="E1355" s="1">
        <f>IFERROR(__xludf.DUMMYFUNCTION("""COMPUTED_VALUE"""),0.0)</f>
        <v>0</v>
      </c>
    </row>
    <row r="1356">
      <c r="A1356" s="1">
        <f>IFERROR(__xludf.DUMMYFUNCTION("""COMPUTED_VALUE"""),735021.0)</f>
        <v>735021</v>
      </c>
      <c r="B1356" s="2">
        <f>IFERROR(__xludf.DUMMYFUNCTION("""COMPUTED_VALUE"""),42751.41075635987)</f>
        <v>42751.41076</v>
      </c>
      <c r="C1356" s="1" t="str">
        <f>IFERROR(__xludf.DUMMYFUNCTION("""COMPUTED_VALUE"""),"control")</f>
        <v>control</v>
      </c>
      <c r="D1356" s="1" t="str">
        <f>IFERROR(__xludf.DUMMYFUNCTION("""COMPUTED_VALUE"""),"new_page")</f>
        <v>new_page</v>
      </c>
      <c r="E1356" s="1">
        <f>IFERROR(__xludf.DUMMYFUNCTION("""COMPUTED_VALUE"""),0.0)</f>
        <v>0</v>
      </c>
    </row>
    <row r="1357">
      <c r="A1357" s="1">
        <f>IFERROR(__xludf.DUMMYFUNCTION("""COMPUTED_VALUE"""),871094.0)</f>
        <v>871094</v>
      </c>
      <c r="B1357" s="2">
        <f>IFERROR(__xludf.DUMMYFUNCTION("""COMPUTED_VALUE"""),42741.005325503276)</f>
        <v>42741.00533</v>
      </c>
      <c r="C1357" s="1" t="str">
        <f>IFERROR(__xludf.DUMMYFUNCTION("""COMPUTED_VALUE"""),"treatment")</f>
        <v>treatment</v>
      </c>
      <c r="D1357" s="1" t="str">
        <f>IFERROR(__xludf.DUMMYFUNCTION("""COMPUTED_VALUE"""),"new_page")</f>
        <v>new_page</v>
      </c>
      <c r="E1357" s="1">
        <f>IFERROR(__xludf.DUMMYFUNCTION("""COMPUTED_VALUE"""),0.0)</f>
        <v>0</v>
      </c>
    </row>
    <row r="1358">
      <c r="A1358" s="1">
        <f>IFERROR(__xludf.DUMMYFUNCTION("""COMPUTED_VALUE"""),643530.0)</f>
        <v>643530</v>
      </c>
      <c r="B1358" s="2">
        <f>IFERROR(__xludf.DUMMYFUNCTION("""COMPUTED_VALUE"""),42749.38001624178)</f>
        <v>42749.38002</v>
      </c>
      <c r="C1358" s="1" t="str">
        <f>IFERROR(__xludf.DUMMYFUNCTION("""COMPUTED_VALUE"""),"treatment")</f>
        <v>treatment</v>
      </c>
      <c r="D1358" s="1" t="str">
        <f>IFERROR(__xludf.DUMMYFUNCTION("""COMPUTED_VALUE"""),"new_page")</f>
        <v>new_page</v>
      </c>
      <c r="E1358" s="1">
        <f>IFERROR(__xludf.DUMMYFUNCTION("""COMPUTED_VALUE"""),0.0)</f>
        <v>0</v>
      </c>
    </row>
    <row r="1359">
      <c r="A1359" s="1">
        <f>IFERROR(__xludf.DUMMYFUNCTION("""COMPUTED_VALUE"""),915446.0)</f>
        <v>915446</v>
      </c>
      <c r="B1359" s="2">
        <f>IFERROR(__xludf.DUMMYFUNCTION("""COMPUTED_VALUE"""),42747.69867380175)</f>
        <v>42747.69867</v>
      </c>
      <c r="C1359" s="1" t="str">
        <f>IFERROR(__xludf.DUMMYFUNCTION("""COMPUTED_VALUE"""),"control")</f>
        <v>control</v>
      </c>
      <c r="D1359" s="1" t="str">
        <f>IFERROR(__xludf.DUMMYFUNCTION("""COMPUTED_VALUE"""),"old_page")</f>
        <v>old_page</v>
      </c>
      <c r="E1359" s="1">
        <f>IFERROR(__xludf.DUMMYFUNCTION("""COMPUTED_VALUE"""),0.0)</f>
        <v>0</v>
      </c>
    </row>
    <row r="1360">
      <c r="A1360" s="1">
        <f>IFERROR(__xludf.DUMMYFUNCTION("""COMPUTED_VALUE"""),713803.0)</f>
        <v>713803</v>
      </c>
      <c r="B1360" s="2">
        <f>IFERROR(__xludf.DUMMYFUNCTION("""COMPUTED_VALUE"""),42745.914661801005)</f>
        <v>42745.91466</v>
      </c>
      <c r="C1360" s="1" t="str">
        <f>IFERROR(__xludf.DUMMYFUNCTION("""COMPUTED_VALUE"""),"treatment")</f>
        <v>treatment</v>
      </c>
      <c r="D1360" s="1" t="str">
        <f>IFERROR(__xludf.DUMMYFUNCTION("""COMPUTED_VALUE"""),"new_page")</f>
        <v>new_page</v>
      </c>
      <c r="E1360" s="1">
        <f>IFERROR(__xludf.DUMMYFUNCTION("""COMPUTED_VALUE"""),0.0)</f>
        <v>0</v>
      </c>
    </row>
    <row r="1361">
      <c r="A1361" s="1">
        <f>IFERROR(__xludf.DUMMYFUNCTION("""COMPUTED_VALUE"""),858280.0)</f>
        <v>858280</v>
      </c>
      <c r="B1361" s="2">
        <f>IFERROR(__xludf.DUMMYFUNCTION("""COMPUTED_VALUE"""),42752.35039177525)</f>
        <v>42752.35039</v>
      </c>
      <c r="C1361" s="1" t="str">
        <f>IFERROR(__xludf.DUMMYFUNCTION("""COMPUTED_VALUE"""),"treatment")</f>
        <v>treatment</v>
      </c>
      <c r="D1361" s="1" t="str">
        <f>IFERROR(__xludf.DUMMYFUNCTION("""COMPUTED_VALUE"""),"new_page")</f>
        <v>new_page</v>
      </c>
      <c r="E1361" s="1">
        <f>IFERROR(__xludf.DUMMYFUNCTION("""COMPUTED_VALUE"""),0.0)</f>
        <v>0</v>
      </c>
    </row>
    <row r="1362">
      <c r="A1362" s="1">
        <f>IFERROR(__xludf.DUMMYFUNCTION("""COMPUTED_VALUE"""),854550.0)</f>
        <v>854550</v>
      </c>
      <c r="B1362" s="2">
        <f>IFERROR(__xludf.DUMMYFUNCTION("""COMPUTED_VALUE"""),42758.12109384587)</f>
        <v>42758.12109</v>
      </c>
      <c r="C1362" s="1" t="str">
        <f>IFERROR(__xludf.DUMMYFUNCTION("""COMPUTED_VALUE"""),"treatment")</f>
        <v>treatment</v>
      </c>
      <c r="D1362" s="1" t="str">
        <f>IFERROR(__xludf.DUMMYFUNCTION("""COMPUTED_VALUE"""),"new_page")</f>
        <v>new_page</v>
      </c>
      <c r="E1362" s="1">
        <f>IFERROR(__xludf.DUMMYFUNCTION("""COMPUTED_VALUE"""),0.0)</f>
        <v>0</v>
      </c>
    </row>
    <row r="1363">
      <c r="A1363" s="1">
        <f>IFERROR(__xludf.DUMMYFUNCTION("""COMPUTED_VALUE"""),785823.0)</f>
        <v>785823</v>
      </c>
      <c r="B1363" s="2">
        <f>IFERROR(__xludf.DUMMYFUNCTION("""COMPUTED_VALUE"""),42739.40895548425)</f>
        <v>42739.40896</v>
      </c>
      <c r="C1363" s="1" t="str">
        <f>IFERROR(__xludf.DUMMYFUNCTION("""COMPUTED_VALUE"""),"treatment")</f>
        <v>treatment</v>
      </c>
      <c r="D1363" s="1" t="str">
        <f>IFERROR(__xludf.DUMMYFUNCTION("""COMPUTED_VALUE"""),"new_page")</f>
        <v>new_page</v>
      </c>
      <c r="E1363" s="1">
        <f>IFERROR(__xludf.DUMMYFUNCTION("""COMPUTED_VALUE"""),0.0)</f>
        <v>0</v>
      </c>
    </row>
    <row r="1364">
      <c r="A1364" s="1">
        <f>IFERROR(__xludf.DUMMYFUNCTION("""COMPUTED_VALUE"""),883081.0)</f>
        <v>883081</v>
      </c>
      <c r="B1364" s="2">
        <f>IFERROR(__xludf.DUMMYFUNCTION("""COMPUTED_VALUE"""),42744.52861118089)</f>
        <v>42744.52861</v>
      </c>
      <c r="C1364" s="1" t="str">
        <f>IFERROR(__xludf.DUMMYFUNCTION("""COMPUTED_VALUE"""),"treatment")</f>
        <v>treatment</v>
      </c>
      <c r="D1364" s="1" t="str">
        <f>IFERROR(__xludf.DUMMYFUNCTION("""COMPUTED_VALUE"""),"new_page")</f>
        <v>new_page</v>
      </c>
      <c r="E1364" s="1">
        <f>IFERROR(__xludf.DUMMYFUNCTION("""COMPUTED_VALUE"""),0.0)</f>
        <v>0</v>
      </c>
    </row>
    <row r="1365">
      <c r="A1365" s="1">
        <f>IFERROR(__xludf.DUMMYFUNCTION("""COMPUTED_VALUE"""),933129.0)</f>
        <v>933129</v>
      </c>
      <c r="B1365" s="2">
        <f>IFERROR(__xludf.DUMMYFUNCTION("""COMPUTED_VALUE"""),42755.653207005234)</f>
        <v>42755.65321</v>
      </c>
      <c r="C1365" s="1" t="str">
        <f>IFERROR(__xludf.DUMMYFUNCTION("""COMPUTED_VALUE"""),"control")</f>
        <v>control</v>
      </c>
      <c r="D1365" s="1" t="str">
        <f>IFERROR(__xludf.DUMMYFUNCTION("""COMPUTED_VALUE"""),"old_page")</f>
        <v>old_page</v>
      </c>
      <c r="E1365" s="1">
        <f>IFERROR(__xludf.DUMMYFUNCTION("""COMPUTED_VALUE"""),1.0)</f>
        <v>1</v>
      </c>
    </row>
    <row r="1366">
      <c r="A1366" s="1">
        <f>IFERROR(__xludf.DUMMYFUNCTION("""COMPUTED_VALUE"""),667048.0)</f>
        <v>667048</v>
      </c>
      <c r="B1366" s="2">
        <f>IFERROR(__xludf.DUMMYFUNCTION("""COMPUTED_VALUE"""),42740.521711821595)</f>
        <v>42740.52171</v>
      </c>
      <c r="C1366" s="1" t="str">
        <f>IFERROR(__xludf.DUMMYFUNCTION("""COMPUTED_VALUE"""),"treatment")</f>
        <v>treatment</v>
      </c>
      <c r="D1366" s="1" t="str">
        <f>IFERROR(__xludf.DUMMYFUNCTION("""COMPUTED_VALUE"""),"new_page")</f>
        <v>new_page</v>
      </c>
      <c r="E1366" s="1">
        <f>IFERROR(__xludf.DUMMYFUNCTION("""COMPUTED_VALUE"""),0.0)</f>
        <v>0</v>
      </c>
    </row>
    <row r="1367">
      <c r="A1367" s="1">
        <f>IFERROR(__xludf.DUMMYFUNCTION("""COMPUTED_VALUE"""),880412.0)</f>
        <v>880412</v>
      </c>
      <c r="B1367" s="2">
        <f>IFERROR(__xludf.DUMMYFUNCTION("""COMPUTED_VALUE"""),42748.134451051206)</f>
        <v>42748.13445</v>
      </c>
      <c r="C1367" s="1" t="str">
        <f>IFERROR(__xludf.DUMMYFUNCTION("""COMPUTED_VALUE"""),"treatment")</f>
        <v>treatment</v>
      </c>
      <c r="D1367" s="1" t="str">
        <f>IFERROR(__xludf.DUMMYFUNCTION("""COMPUTED_VALUE"""),"new_page")</f>
        <v>new_page</v>
      </c>
      <c r="E1367" s="1">
        <f>IFERROR(__xludf.DUMMYFUNCTION("""COMPUTED_VALUE"""),0.0)</f>
        <v>0</v>
      </c>
    </row>
    <row r="1368">
      <c r="A1368" s="1">
        <f>IFERROR(__xludf.DUMMYFUNCTION("""COMPUTED_VALUE"""),670221.0)</f>
        <v>670221</v>
      </c>
      <c r="B1368" s="2">
        <f>IFERROR(__xludf.DUMMYFUNCTION("""COMPUTED_VALUE"""),42746.806042771736)</f>
        <v>42746.80604</v>
      </c>
      <c r="C1368" s="1" t="str">
        <f>IFERROR(__xludf.DUMMYFUNCTION("""COMPUTED_VALUE"""),"treatment")</f>
        <v>treatment</v>
      </c>
      <c r="D1368" s="1" t="str">
        <f>IFERROR(__xludf.DUMMYFUNCTION("""COMPUTED_VALUE"""),"new_page")</f>
        <v>new_page</v>
      </c>
      <c r="E1368" s="1">
        <f>IFERROR(__xludf.DUMMYFUNCTION("""COMPUTED_VALUE"""),0.0)</f>
        <v>0</v>
      </c>
    </row>
    <row r="1369">
      <c r="A1369" s="1">
        <f>IFERROR(__xludf.DUMMYFUNCTION("""COMPUTED_VALUE"""),827337.0)</f>
        <v>827337</v>
      </c>
      <c r="B1369" s="2">
        <f>IFERROR(__xludf.DUMMYFUNCTION("""COMPUTED_VALUE"""),42749.540706577856)</f>
        <v>42749.54071</v>
      </c>
      <c r="C1369" s="1" t="str">
        <f>IFERROR(__xludf.DUMMYFUNCTION("""COMPUTED_VALUE"""),"control")</f>
        <v>control</v>
      </c>
      <c r="D1369" s="1" t="str">
        <f>IFERROR(__xludf.DUMMYFUNCTION("""COMPUTED_VALUE"""),"old_page")</f>
        <v>old_page</v>
      </c>
      <c r="E1369" s="1">
        <f>IFERROR(__xludf.DUMMYFUNCTION("""COMPUTED_VALUE"""),0.0)</f>
        <v>0</v>
      </c>
    </row>
    <row r="1370">
      <c r="A1370" s="1">
        <f>IFERROR(__xludf.DUMMYFUNCTION("""COMPUTED_VALUE"""),689442.0)</f>
        <v>689442</v>
      </c>
      <c r="B1370" s="2">
        <f>IFERROR(__xludf.DUMMYFUNCTION("""COMPUTED_VALUE"""),42755.77745587368)</f>
        <v>42755.77746</v>
      </c>
      <c r="C1370" s="1" t="str">
        <f>IFERROR(__xludf.DUMMYFUNCTION("""COMPUTED_VALUE"""),"control")</f>
        <v>control</v>
      </c>
      <c r="D1370" s="1" t="str">
        <f>IFERROR(__xludf.DUMMYFUNCTION("""COMPUTED_VALUE"""),"old_page")</f>
        <v>old_page</v>
      </c>
      <c r="E1370" s="1">
        <f>IFERROR(__xludf.DUMMYFUNCTION("""COMPUTED_VALUE"""),0.0)</f>
        <v>0</v>
      </c>
    </row>
    <row r="1371">
      <c r="A1371" s="1">
        <f>IFERROR(__xludf.DUMMYFUNCTION("""COMPUTED_VALUE"""),651720.0)</f>
        <v>651720</v>
      </c>
      <c r="B1371" s="2">
        <f>IFERROR(__xludf.DUMMYFUNCTION("""COMPUTED_VALUE"""),42740.83506371288)</f>
        <v>42740.83506</v>
      </c>
      <c r="C1371" s="1" t="str">
        <f>IFERROR(__xludf.DUMMYFUNCTION("""COMPUTED_VALUE"""),"control")</f>
        <v>control</v>
      </c>
      <c r="D1371" s="1" t="str">
        <f>IFERROR(__xludf.DUMMYFUNCTION("""COMPUTED_VALUE"""),"old_page")</f>
        <v>old_page</v>
      </c>
      <c r="E1371" s="1">
        <f>IFERROR(__xludf.DUMMYFUNCTION("""COMPUTED_VALUE"""),0.0)</f>
        <v>0</v>
      </c>
    </row>
    <row r="1372">
      <c r="A1372" s="1">
        <f>IFERROR(__xludf.DUMMYFUNCTION("""COMPUTED_VALUE"""),763180.0)</f>
        <v>763180</v>
      </c>
      <c r="B1372" s="2">
        <f>IFERROR(__xludf.DUMMYFUNCTION("""COMPUTED_VALUE"""),42743.63920205162)</f>
        <v>42743.6392</v>
      </c>
      <c r="C1372" s="1" t="str">
        <f>IFERROR(__xludf.DUMMYFUNCTION("""COMPUTED_VALUE"""),"treatment")</f>
        <v>treatment</v>
      </c>
      <c r="D1372" s="1" t="str">
        <f>IFERROR(__xludf.DUMMYFUNCTION("""COMPUTED_VALUE"""),"new_page")</f>
        <v>new_page</v>
      </c>
      <c r="E1372" s="1">
        <f>IFERROR(__xludf.DUMMYFUNCTION("""COMPUTED_VALUE"""),1.0)</f>
        <v>1</v>
      </c>
    </row>
    <row r="1373">
      <c r="A1373" s="1">
        <f>IFERROR(__xludf.DUMMYFUNCTION("""COMPUTED_VALUE"""),807276.0)</f>
        <v>807276</v>
      </c>
      <c r="B1373" s="2">
        <f>IFERROR(__xludf.DUMMYFUNCTION("""COMPUTED_VALUE"""),42759.55222520931)</f>
        <v>42759.55223</v>
      </c>
      <c r="C1373" s="1" t="str">
        <f>IFERROR(__xludf.DUMMYFUNCTION("""COMPUTED_VALUE"""),"treatment")</f>
        <v>treatment</v>
      </c>
      <c r="D1373" s="1" t="str">
        <f>IFERROR(__xludf.DUMMYFUNCTION("""COMPUTED_VALUE"""),"new_page")</f>
        <v>new_page</v>
      </c>
      <c r="E1373" s="1">
        <f>IFERROR(__xludf.DUMMYFUNCTION("""COMPUTED_VALUE"""),0.0)</f>
        <v>0</v>
      </c>
    </row>
    <row r="1374">
      <c r="A1374" s="1">
        <f>IFERROR(__xludf.DUMMYFUNCTION("""COMPUTED_VALUE"""),768923.0)</f>
        <v>768923</v>
      </c>
      <c r="B1374" s="2">
        <f>IFERROR(__xludf.DUMMYFUNCTION("""COMPUTED_VALUE"""),42754.08432105677)</f>
        <v>42754.08432</v>
      </c>
      <c r="C1374" s="1" t="str">
        <f>IFERROR(__xludf.DUMMYFUNCTION("""COMPUTED_VALUE"""),"control")</f>
        <v>control</v>
      </c>
      <c r="D1374" s="1" t="str">
        <f>IFERROR(__xludf.DUMMYFUNCTION("""COMPUTED_VALUE"""),"old_page")</f>
        <v>old_page</v>
      </c>
      <c r="E1374" s="1">
        <f>IFERROR(__xludf.DUMMYFUNCTION("""COMPUTED_VALUE"""),0.0)</f>
        <v>0</v>
      </c>
    </row>
    <row r="1375">
      <c r="A1375" s="1">
        <f>IFERROR(__xludf.DUMMYFUNCTION("""COMPUTED_VALUE"""),764322.0)</f>
        <v>764322</v>
      </c>
      <c r="B1375" s="2">
        <f>IFERROR(__xludf.DUMMYFUNCTION("""COMPUTED_VALUE"""),42745.74408868868)</f>
        <v>42745.74409</v>
      </c>
      <c r="C1375" s="1" t="str">
        <f>IFERROR(__xludf.DUMMYFUNCTION("""COMPUTED_VALUE"""),"control")</f>
        <v>control</v>
      </c>
      <c r="D1375" s="1" t="str">
        <f>IFERROR(__xludf.DUMMYFUNCTION("""COMPUTED_VALUE"""),"old_page")</f>
        <v>old_page</v>
      </c>
      <c r="E1375" s="1">
        <f>IFERROR(__xludf.DUMMYFUNCTION("""COMPUTED_VALUE"""),0.0)</f>
        <v>0</v>
      </c>
    </row>
    <row r="1376">
      <c r="A1376" s="1">
        <f>IFERROR(__xludf.DUMMYFUNCTION("""COMPUTED_VALUE"""),896594.0)</f>
        <v>896594</v>
      </c>
      <c r="B1376" s="2">
        <f>IFERROR(__xludf.DUMMYFUNCTION("""COMPUTED_VALUE"""),42738.87250447458)</f>
        <v>42738.8725</v>
      </c>
      <c r="C1376" s="1" t="str">
        <f>IFERROR(__xludf.DUMMYFUNCTION("""COMPUTED_VALUE"""),"treatment")</f>
        <v>treatment</v>
      </c>
      <c r="D1376" s="1" t="str">
        <f>IFERROR(__xludf.DUMMYFUNCTION("""COMPUTED_VALUE"""),"new_page")</f>
        <v>new_page</v>
      </c>
      <c r="E1376" s="1">
        <f>IFERROR(__xludf.DUMMYFUNCTION("""COMPUTED_VALUE"""),0.0)</f>
        <v>0</v>
      </c>
    </row>
    <row r="1377">
      <c r="A1377" s="1">
        <f>IFERROR(__xludf.DUMMYFUNCTION("""COMPUTED_VALUE"""),678624.0)</f>
        <v>678624</v>
      </c>
      <c r="B1377" s="2">
        <f>IFERROR(__xludf.DUMMYFUNCTION("""COMPUTED_VALUE"""),42753.82737515306)</f>
        <v>42753.82738</v>
      </c>
      <c r="C1377" s="1" t="str">
        <f>IFERROR(__xludf.DUMMYFUNCTION("""COMPUTED_VALUE"""),"treatment")</f>
        <v>treatment</v>
      </c>
      <c r="D1377" s="1" t="str">
        <f>IFERROR(__xludf.DUMMYFUNCTION("""COMPUTED_VALUE"""),"new_page")</f>
        <v>new_page</v>
      </c>
      <c r="E1377" s="1">
        <f>IFERROR(__xludf.DUMMYFUNCTION("""COMPUTED_VALUE"""),0.0)</f>
        <v>0</v>
      </c>
    </row>
    <row r="1378">
      <c r="A1378" s="1">
        <f>IFERROR(__xludf.DUMMYFUNCTION("""COMPUTED_VALUE"""),844475.0)</f>
        <v>844475</v>
      </c>
      <c r="B1378" s="2">
        <f>IFERROR(__xludf.DUMMYFUNCTION("""COMPUTED_VALUE"""),42755.60112684738)</f>
        <v>42755.60113</v>
      </c>
      <c r="C1378" s="1" t="str">
        <f>IFERROR(__xludf.DUMMYFUNCTION("""COMPUTED_VALUE"""),"treatment")</f>
        <v>treatment</v>
      </c>
      <c r="D1378" s="1" t="str">
        <f>IFERROR(__xludf.DUMMYFUNCTION("""COMPUTED_VALUE"""),"old_page")</f>
        <v>old_page</v>
      </c>
      <c r="E1378" s="1">
        <f>IFERROR(__xludf.DUMMYFUNCTION("""COMPUTED_VALUE"""),0.0)</f>
        <v>0</v>
      </c>
    </row>
    <row r="1379">
      <c r="A1379" s="1">
        <f>IFERROR(__xludf.DUMMYFUNCTION("""COMPUTED_VALUE"""),910512.0)</f>
        <v>910512</v>
      </c>
      <c r="B1379" s="2">
        <f>IFERROR(__xludf.DUMMYFUNCTION("""COMPUTED_VALUE"""),42757.89439897111)</f>
        <v>42757.8944</v>
      </c>
      <c r="C1379" s="1" t="str">
        <f>IFERROR(__xludf.DUMMYFUNCTION("""COMPUTED_VALUE"""),"control")</f>
        <v>control</v>
      </c>
      <c r="D1379" s="1" t="str">
        <f>IFERROR(__xludf.DUMMYFUNCTION("""COMPUTED_VALUE"""),"old_page")</f>
        <v>old_page</v>
      </c>
      <c r="E1379" s="1">
        <f>IFERROR(__xludf.DUMMYFUNCTION("""COMPUTED_VALUE"""),1.0)</f>
        <v>1</v>
      </c>
    </row>
    <row r="1380">
      <c r="A1380" s="1">
        <f>IFERROR(__xludf.DUMMYFUNCTION("""COMPUTED_VALUE"""),941775.0)</f>
        <v>941775</v>
      </c>
      <c r="B1380" s="2">
        <f>IFERROR(__xludf.DUMMYFUNCTION("""COMPUTED_VALUE"""),42751.07394887743)</f>
        <v>42751.07395</v>
      </c>
      <c r="C1380" s="1" t="str">
        <f>IFERROR(__xludf.DUMMYFUNCTION("""COMPUTED_VALUE"""),"control")</f>
        <v>control</v>
      </c>
      <c r="D1380" s="1" t="str">
        <f>IFERROR(__xludf.DUMMYFUNCTION("""COMPUTED_VALUE"""),"old_page")</f>
        <v>old_page</v>
      </c>
      <c r="E1380" s="1">
        <f>IFERROR(__xludf.DUMMYFUNCTION("""COMPUTED_VALUE"""),0.0)</f>
        <v>0</v>
      </c>
    </row>
    <row r="1381">
      <c r="A1381" s="1">
        <f>IFERROR(__xludf.DUMMYFUNCTION("""COMPUTED_VALUE"""),768858.0)</f>
        <v>768858</v>
      </c>
      <c r="B1381" s="2">
        <f>IFERROR(__xludf.DUMMYFUNCTION("""COMPUTED_VALUE"""),42753.89276468155)</f>
        <v>42753.89276</v>
      </c>
      <c r="C1381" s="1" t="str">
        <f>IFERROR(__xludf.DUMMYFUNCTION("""COMPUTED_VALUE"""),"treatment")</f>
        <v>treatment</v>
      </c>
      <c r="D1381" s="1" t="str">
        <f>IFERROR(__xludf.DUMMYFUNCTION("""COMPUTED_VALUE"""),"new_page")</f>
        <v>new_page</v>
      </c>
      <c r="E1381" s="1">
        <f>IFERROR(__xludf.DUMMYFUNCTION("""COMPUTED_VALUE"""),0.0)</f>
        <v>0</v>
      </c>
    </row>
    <row r="1382">
      <c r="A1382" s="1">
        <f>IFERROR(__xludf.DUMMYFUNCTION("""COMPUTED_VALUE"""),705427.0)</f>
        <v>705427</v>
      </c>
      <c r="B1382" s="2">
        <f>IFERROR(__xludf.DUMMYFUNCTION("""COMPUTED_VALUE"""),42757.42638324336)</f>
        <v>42757.42638</v>
      </c>
      <c r="C1382" s="1" t="str">
        <f>IFERROR(__xludf.DUMMYFUNCTION("""COMPUTED_VALUE"""),"control")</f>
        <v>control</v>
      </c>
      <c r="D1382" s="1" t="str">
        <f>IFERROR(__xludf.DUMMYFUNCTION("""COMPUTED_VALUE"""),"old_page")</f>
        <v>old_page</v>
      </c>
      <c r="E1382" s="1">
        <f>IFERROR(__xludf.DUMMYFUNCTION("""COMPUTED_VALUE"""),0.0)</f>
        <v>0</v>
      </c>
    </row>
    <row r="1383">
      <c r="A1383" s="1">
        <f>IFERROR(__xludf.DUMMYFUNCTION("""COMPUTED_VALUE"""),850156.0)</f>
        <v>850156</v>
      </c>
      <c r="B1383" s="2">
        <f>IFERROR(__xludf.DUMMYFUNCTION("""COMPUTED_VALUE"""),42758.74400906811)</f>
        <v>42758.74401</v>
      </c>
      <c r="C1383" s="1" t="str">
        <f>IFERROR(__xludf.DUMMYFUNCTION("""COMPUTED_VALUE"""),"control")</f>
        <v>control</v>
      </c>
      <c r="D1383" s="1" t="str">
        <f>IFERROR(__xludf.DUMMYFUNCTION("""COMPUTED_VALUE"""),"old_page")</f>
        <v>old_page</v>
      </c>
      <c r="E1383" s="1">
        <f>IFERROR(__xludf.DUMMYFUNCTION("""COMPUTED_VALUE"""),0.0)</f>
        <v>0</v>
      </c>
    </row>
    <row r="1384">
      <c r="A1384" s="1">
        <f>IFERROR(__xludf.DUMMYFUNCTION("""COMPUTED_VALUE"""),888581.0)</f>
        <v>888581</v>
      </c>
      <c r="B1384" s="2">
        <f>IFERROR(__xludf.DUMMYFUNCTION("""COMPUTED_VALUE"""),42750.39326236458)</f>
        <v>42750.39326</v>
      </c>
      <c r="C1384" s="1" t="str">
        <f>IFERROR(__xludf.DUMMYFUNCTION("""COMPUTED_VALUE"""),"control")</f>
        <v>control</v>
      </c>
      <c r="D1384" s="1" t="str">
        <f>IFERROR(__xludf.DUMMYFUNCTION("""COMPUTED_VALUE"""),"old_page")</f>
        <v>old_page</v>
      </c>
      <c r="E1384" s="1">
        <f>IFERROR(__xludf.DUMMYFUNCTION("""COMPUTED_VALUE"""),1.0)</f>
        <v>1</v>
      </c>
    </row>
    <row r="1385">
      <c r="A1385" s="1">
        <f>IFERROR(__xludf.DUMMYFUNCTION("""COMPUTED_VALUE"""),840377.0)</f>
        <v>840377</v>
      </c>
      <c r="B1385" s="2">
        <f>IFERROR(__xludf.DUMMYFUNCTION("""COMPUTED_VALUE"""),42748.91118767168)</f>
        <v>42748.91119</v>
      </c>
      <c r="C1385" s="1" t="str">
        <f>IFERROR(__xludf.DUMMYFUNCTION("""COMPUTED_VALUE"""),"treatment")</f>
        <v>treatment</v>
      </c>
      <c r="D1385" s="1" t="str">
        <f>IFERROR(__xludf.DUMMYFUNCTION("""COMPUTED_VALUE"""),"new_page")</f>
        <v>new_page</v>
      </c>
      <c r="E1385" s="1">
        <f>IFERROR(__xludf.DUMMYFUNCTION("""COMPUTED_VALUE"""),0.0)</f>
        <v>0</v>
      </c>
    </row>
    <row r="1386">
      <c r="A1386" s="1">
        <f>IFERROR(__xludf.DUMMYFUNCTION("""COMPUTED_VALUE"""),871671.0)</f>
        <v>871671</v>
      </c>
      <c r="B1386" s="2">
        <f>IFERROR(__xludf.DUMMYFUNCTION("""COMPUTED_VALUE"""),42743.20016425543)</f>
        <v>42743.20016</v>
      </c>
      <c r="C1386" s="1" t="str">
        <f>IFERROR(__xludf.DUMMYFUNCTION("""COMPUTED_VALUE"""),"treatment")</f>
        <v>treatment</v>
      </c>
      <c r="D1386" s="1" t="str">
        <f>IFERROR(__xludf.DUMMYFUNCTION("""COMPUTED_VALUE"""),"new_page")</f>
        <v>new_page</v>
      </c>
      <c r="E1386" s="1">
        <f>IFERROR(__xludf.DUMMYFUNCTION("""COMPUTED_VALUE"""),0.0)</f>
        <v>0</v>
      </c>
    </row>
    <row r="1387">
      <c r="A1387" s="1">
        <f>IFERROR(__xludf.DUMMYFUNCTION("""COMPUTED_VALUE"""),830672.0)</f>
        <v>830672</v>
      </c>
      <c r="B1387" s="2">
        <f>IFERROR(__xludf.DUMMYFUNCTION("""COMPUTED_VALUE"""),42745.64729421762)</f>
        <v>42745.64729</v>
      </c>
      <c r="C1387" s="1" t="str">
        <f>IFERROR(__xludf.DUMMYFUNCTION("""COMPUTED_VALUE"""),"control")</f>
        <v>control</v>
      </c>
      <c r="D1387" s="1" t="str">
        <f>IFERROR(__xludf.DUMMYFUNCTION("""COMPUTED_VALUE"""),"old_page")</f>
        <v>old_page</v>
      </c>
      <c r="E1387" s="1">
        <f>IFERROR(__xludf.DUMMYFUNCTION("""COMPUTED_VALUE"""),1.0)</f>
        <v>1</v>
      </c>
    </row>
    <row r="1388">
      <c r="A1388" s="1">
        <f>IFERROR(__xludf.DUMMYFUNCTION("""COMPUTED_VALUE"""),630484.0)</f>
        <v>630484</v>
      </c>
      <c r="B1388" s="2">
        <f>IFERROR(__xludf.DUMMYFUNCTION("""COMPUTED_VALUE"""),42748.1766321978)</f>
        <v>42748.17663</v>
      </c>
      <c r="C1388" s="1" t="str">
        <f>IFERROR(__xludf.DUMMYFUNCTION("""COMPUTED_VALUE"""),"treatment")</f>
        <v>treatment</v>
      </c>
      <c r="D1388" s="1" t="str">
        <f>IFERROR(__xludf.DUMMYFUNCTION("""COMPUTED_VALUE"""),"new_page")</f>
        <v>new_page</v>
      </c>
      <c r="E1388" s="1">
        <f>IFERROR(__xludf.DUMMYFUNCTION("""COMPUTED_VALUE"""),1.0)</f>
        <v>1</v>
      </c>
    </row>
    <row r="1389">
      <c r="A1389" s="1">
        <f>IFERROR(__xludf.DUMMYFUNCTION("""COMPUTED_VALUE"""),888474.0)</f>
        <v>888474</v>
      </c>
      <c r="B1389" s="2">
        <f>IFERROR(__xludf.DUMMYFUNCTION("""COMPUTED_VALUE"""),42748.429546986226)</f>
        <v>42748.42955</v>
      </c>
      <c r="C1389" s="1" t="str">
        <f>IFERROR(__xludf.DUMMYFUNCTION("""COMPUTED_VALUE"""),"control")</f>
        <v>control</v>
      </c>
      <c r="D1389" s="1" t="str">
        <f>IFERROR(__xludf.DUMMYFUNCTION("""COMPUTED_VALUE"""),"old_page")</f>
        <v>old_page</v>
      </c>
      <c r="E1389" s="1">
        <f>IFERROR(__xludf.DUMMYFUNCTION("""COMPUTED_VALUE"""),1.0)</f>
        <v>1</v>
      </c>
    </row>
    <row r="1390">
      <c r="A1390" s="1">
        <f>IFERROR(__xludf.DUMMYFUNCTION("""COMPUTED_VALUE"""),941277.0)</f>
        <v>941277</v>
      </c>
      <c r="B1390" s="2">
        <f>IFERROR(__xludf.DUMMYFUNCTION("""COMPUTED_VALUE"""),42755.52292084387)</f>
        <v>42755.52292</v>
      </c>
      <c r="C1390" s="1" t="str">
        <f>IFERROR(__xludf.DUMMYFUNCTION("""COMPUTED_VALUE"""),"control")</f>
        <v>control</v>
      </c>
      <c r="D1390" s="1" t="str">
        <f>IFERROR(__xludf.DUMMYFUNCTION("""COMPUTED_VALUE"""),"old_page")</f>
        <v>old_page</v>
      </c>
      <c r="E1390" s="1">
        <f>IFERROR(__xludf.DUMMYFUNCTION("""COMPUTED_VALUE"""),0.0)</f>
        <v>0</v>
      </c>
    </row>
    <row r="1391">
      <c r="A1391" s="1">
        <f>IFERROR(__xludf.DUMMYFUNCTION("""COMPUTED_VALUE"""),739487.0)</f>
        <v>739487</v>
      </c>
      <c r="B1391" s="2">
        <f>IFERROR(__xludf.DUMMYFUNCTION("""COMPUTED_VALUE"""),42744.50055043239)</f>
        <v>42744.50055</v>
      </c>
      <c r="C1391" s="1" t="str">
        <f>IFERROR(__xludf.DUMMYFUNCTION("""COMPUTED_VALUE"""),"control")</f>
        <v>control</v>
      </c>
      <c r="D1391" s="1" t="str">
        <f>IFERROR(__xludf.DUMMYFUNCTION("""COMPUTED_VALUE"""),"old_page")</f>
        <v>old_page</v>
      </c>
      <c r="E1391" s="1">
        <f>IFERROR(__xludf.DUMMYFUNCTION("""COMPUTED_VALUE"""),0.0)</f>
        <v>0</v>
      </c>
    </row>
    <row r="1392">
      <c r="A1392" s="1">
        <f>IFERROR(__xludf.DUMMYFUNCTION("""COMPUTED_VALUE"""),710282.0)</f>
        <v>710282</v>
      </c>
      <c r="B1392" s="2">
        <f>IFERROR(__xludf.DUMMYFUNCTION("""COMPUTED_VALUE"""),42739.44415777027)</f>
        <v>42739.44416</v>
      </c>
      <c r="C1392" s="1" t="str">
        <f>IFERROR(__xludf.DUMMYFUNCTION("""COMPUTED_VALUE"""),"control")</f>
        <v>control</v>
      </c>
      <c r="D1392" s="1" t="str">
        <f>IFERROR(__xludf.DUMMYFUNCTION("""COMPUTED_VALUE"""),"old_page")</f>
        <v>old_page</v>
      </c>
      <c r="E1392" s="1">
        <f>IFERROR(__xludf.DUMMYFUNCTION("""COMPUTED_VALUE"""),1.0)</f>
        <v>1</v>
      </c>
    </row>
    <row r="1393">
      <c r="A1393" s="1">
        <f>IFERROR(__xludf.DUMMYFUNCTION("""COMPUTED_VALUE"""),833886.0)</f>
        <v>833886</v>
      </c>
      <c r="B1393" s="2">
        <f>IFERROR(__xludf.DUMMYFUNCTION("""COMPUTED_VALUE"""),42741.138504136274)</f>
        <v>42741.1385</v>
      </c>
      <c r="C1393" s="1" t="str">
        <f>IFERROR(__xludf.DUMMYFUNCTION("""COMPUTED_VALUE"""),"control")</f>
        <v>control</v>
      </c>
      <c r="D1393" s="1" t="str">
        <f>IFERROR(__xludf.DUMMYFUNCTION("""COMPUTED_VALUE"""),"old_page")</f>
        <v>old_page</v>
      </c>
      <c r="E1393" s="1">
        <f>IFERROR(__xludf.DUMMYFUNCTION("""COMPUTED_VALUE"""),0.0)</f>
        <v>0</v>
      </c>
    </row>
    <row r="1394">
      <c r="A1394" s="1">
        <f>IFERROR(__xludf.DUMMYFUNCTION("""COMPUTED_VALUE"""),698448.0)</f>
        <v>698448</v>
      </c>
      <c r="B1394" s="2">
        <f>IFERROR(__xludf.DUMMYFUNCTION("""COMPUTED_VALUE"""),42744.13414409911)</f>
        <v>42744.13414</v>
      </c>
      <c r="C1394" s="1" t="str">
        <f>IFERROR(__xludf.DUMMYFUNCTION("""COMPUTED_VALUE"""),"control")</f>
        <v>control</v>
      </c>
      <c r="D1394" s="1" t="str">
        <f>IFERROR(__xludf.DUMMYFUNCTION("""COMPUTED_VALUE"""),"old_page")</f>
        <v>old_page</v>
      </c>
      <c r="E1394" s="1">
        <f>IFERROR(__xludf.DUMMYFUNCTION("""COMPUTED_VALUE"""),1.0)</f>
        <v>1</v>
      </c>
    </row>
    <row r="1395">
      <c r="A1395" s="1">
        <f>IFERROR(__xludf.DUMMYFUNCTION("""COMPUTED_VALUE"""),848240.0)</f>
        <v>848240</v>
      </c>
      <c r="B1395" s="2">
        <f>IFERROR(__xludf.DUMMYFUNCTION("""COMPUTED_VALUE"""),42738.6817109392)</f>
        <v>42738.68171</v>
      </c>
      <c r="C1395" s="1" t="str">
        <f>IFERROR(__xludf.DUMMYFUNCTION("""COMPUTED_VALUE"""),"control")</f>
        <v>control</v>
      </c>
      <c r="D1395" s="1" t="str">
        <f>IFERROR(__xludf.DUMMYFUNCTION("""COMPUTED_VALUE"""),"old_page")</f>
        <v>old_page</v>
      </c>
      <c r="E1395" s="1">
        <f>IFERROR(__xludf.DUMMYFUNCTION("""COMPUTED_VALUE"""),0.0)</f>
        <v>0</v>
      </c>
    </row>
    <row r="1396">
      <c r="A1396" s="1">
        <f>IFERROR(__xludf.DUMMYFUNCTION("""COMPUTED_VALUE"""),772025.0)</f>
        <v>772025</v>
      </c>
      <c r="B1396" s="2">
        <f>IFERROR(__xludf.DUMMYFUNCTION("""COMPUTED_VALUE"""),42756.36120209074)</f>
        <v>42756.3612</v>
      </c>
      <c r="C1396" s="1" t="str">
        <f>IFERROR(__xludf.DUMMYFUNCTION("""COMPUTED_VALUE"""),"control")</f>
        <v>control</v>
      </c>
      <c r="D1396" s="1" t="str">
        <f>IFERROR(__xludf.DUMMYFUNCTION("""COMPUTED_VALUE"""),"old_page")</f>
        <v>old_page</v>
      </c>
      <c r="E1396" s="1">
        <f>IFERROR(__xludf.DUMMYFUNCTION("""COMPUTED_VALUE"""),1.0)</f>
        <v>1</v>
      </c>
    </row>
    <row r="1397">
      <c r="A1397" s="1">
        <f>IFERROR(__xludf.DUMMYFUNCTION("""COMPUTED_VALUE"""),867711.0)</f>
        <v>867711</v>
      </c>
      <c r="B1397" s="2">
        <f>IFERROR(__xludf.DUMMYFUNCTION("""COMPUTED_VALUE"""),42741.8791203681)</f>
        <v>42741.87912</v>
      </c>
      <c r="C1397" s="1" t="str">
        <f>IFERROR(__xludf.DUMMYFUNCTION("""COMPUTED_VALUE"""),"treatment")</f>
        <v>treatment</v>
      </c>
      <c r="D1397" s="1" t="str">
        <f>IFERROR(__xludf.DUMMYFUNCTION("""COMPUTED_VALUE"""),"new_page")</f>
        <v>new_page</v>
      </c>
      <c r="E1397" s="1">
        <f>IFERROR(__xludf.DUMMYFUNCTION("""COMPUTED_VALUE"""),0.0)</f>
        <v>0</v>
      </c>
    </row>
    <row r="1398">
      <c r="A1398" s="1">
        <f>IFERROR(__xludf.DUMMYFUNCTION("""COMPUTED_VALUE"""),826305.0)</f>
        <v>826305</v>
      </c>
      <c r="B1398" s="2">
        <f>IFERROR(__xludf.DUMMYFUNCTION("""COMPUTED_VALUE"""),42751.316041360726)</f>
        <v>42751.31604</v>
      </c>
      <c r="C1398" s="1" t="str">
        <f>IFERROR(__xludf.DUMMYFUNCTION("""COMPUTED_VALUE"""),"treatment")</f>
        <v>treatment</v>
      </c>
      <c r="D1398" s="1" t="str">
        <f>IFERROR(__xludf.DUMMYFUNCTION("""COMPUTED_VALUE"""),"new_page")</f>
        <v>new_page</v>
      </c>
      <c r="E1398" s="1">
        <f>IFERROR(__xludf.DUMMYFUNCTION("""COMPUTED_VALUE"""),1.0)</f>
        <v>1</v>
      </c>
    </row>
    <row r="1399">
      <c r="A1399" s="1">
        <f>IFERROR(__xludf.DUMMYFUNCTION("""COMPUTED_VALUE"""),864164.0)</f>
        <v>864164</v>
      </c>
      <c r="B1399" s="2">
        <f>IFERROR(__xludf.DUMMYFUNCTION("""COMPUTED_VALUE"""),42749.122310248065)</f>
        <v>42749.12231</v>
      </c>
      <c r="C1399" s="1" t="str">
        <f>IFERROR(__xludf.DUMMYFUNCTION("""COMPUTED_VALUE"""),"treatment")</f>
        <v>treatment</v>
      </c>
      <c r="D1399" s="1" t="str">
        <f>IFERROR(__xludf.DUMMYFUNCTION("""COMPUTED_VALUE"""),"new_page")</f>
        <v>new_page</v>
      </c>
      <c r="E1399" s="1">
        <f>IFERROR(__xludf.DUMMYFUNCTION("""COMPUTED_VALUE"""),0.0)</f>
        <v>0</v>
      </c>
    </row>
    <row r="1400">
      <c r="A1400" s="1">
        <f>IFERROR(__xludf.DUMMYFUNCTION("""COMPUTED_VALUE"""),730746.0)</f>
        <v>730746</v>
      </c>
      <c r="B1400" s="2">
        <f>IFERROR(__xludf.DUMMYFUNCTION("""COMPUTED_VALUE"""),42748.63386194574)</f>
        <v>42748.63386</v>
      </c>
      <c r="C1400" s="1" t="str">
        <f>IFERROR(__xludf.DUMMYFUNCTION("""COMPUTED_VALUE"""),"control")</f>
        <v>control</v>
      </c>
      <c r="D1400" s="1" t="str">
        <f>IFERROR(__xludf.DUMMYFUNCTION("""COMPUTED_VALUE"""),"old_page")</f>
        <v>old_page</v>
      </c>
      <c r="E1400" s="1">
        <f>IFERROR(__xludf.DUMMYFUNCTION("""COMPUTED_VALUE"""),0.0)</f>
        <v>0</v>
      </c>
    </row>
    <row r="1401">
      <c r="A1401" s="1">
        <f>IFERROR(__xludf.DUMMYFUNCTION("""COMPUTED_VALUE"""),821048.0)</f>
        <v>821048</v>
      </c>
      <c r="B1401" s="2">
        <f>IFERROR(__xludf.DUMMYFUNCTION("""COMPUTED_VALUE"""),42746.78962226897)</f>
        <v>42746.78962</v>
      </c>
      <c r="C1401" s="1" t="str">
        <f>IFERROR(__xludf.DUMMYFUNCTION("""COMPUTED_VALUE"""),"control")</f>
        <v>control</v>
      </c>
      <c r="D1401" s="1" t="str">
        <f>IFERROR(__xludf.DUMMYFUNCTION("""COMPUTED_VALUE"""),"old_page")</f>
        <v>old_page</v>
      </c>
      <c r="E1401" s="1">
        <f>IFERROR(__xludf.DUMMYFUNCTION("""COMPUTED_VALUE"""),0.0)</f>
        <v>0</v>
      </c>
    </row>
    <row r="1402">
      <c r="A1402" s="1">
        <f>IFERROR(__xludf.DUMMYFUNCTION("""COMPUTED_VALUE"""),891104.0)</f>
        <v>891104</v>
      </c>
      <c r="B1402" s="2">
        <f>IFERROR(__xludf.DUMMYFUNCTION("""COMPUTED_VALUE"""),42750.581697359885)</f>
        <v>42750.5817</v>
      </c>
      <c r="C1402" s="1" t="str">
        <f>IFERROR(__xludf.DUMMYFUNCTION("""COMPUTED_VALUE"""),"control")</f>
        <v>control</v>
      </c>
      <c r="D1402" s="1" t="str">
        <f>IFERROR(__xludf.DUMMYFUNCTION("""COMPUTED_VALUE"""),"old_page")</f>
        <v>old_page</v>
      </c>
      <c r="E1402" s="1">
        <f>IFERROR(__xludf.DUMMYFUNCTION("""COMPUTED_VALUE"""),0.0)</f>
        <v>0</v>
      </c>
    </row>
    <row r="1403">
      <c r="A1403" s="1">
        <f>IFERROR(__xludf.DUMMYFUNCTION("""COMPUTED_VALUE"""),802141.0)</f>
        <v>802141</v>
      </c>
      <c r="B1403" s="2">
        <f>IFERROR(__xludf.DUMMYFUNCTION("""COMPUTED_VALUE"""),42743.809859046814)</f>
        <v>42743.80986</v>
      </c>
      <c r="C1403" s="1" t="str">
        <f>IFERROR(__xludf.DUMMYFUNCTION("""COMPUTED_VALUE"""),"control")</f>
        <v>control</v>
      </c>
      <c r="D1403" s="1" t="str">
        <f>IFERROR(__xludf.DUMMYFUNCTION("""COMPUTED_VALUE"""),"old_page")</f>
        <v>old_page</v>
      </c>
      <c r="E1403" s="1">
        <f>IFERROR(__xludf.DUMMYFUNCTION("""COMPUTED_VALUE"""),0.0)</f>
        <v>0</v>
      </c>
    </row>
    <row r="1404">
      <c r="A1404" s="1">
        <f>IFERROR(__xludf.DUMMYFUNCTION("""COMPUTED_VALUE"""),760758.0)</f>
        <v>760758</v>
      </c>
      <c r="B1404" s="2">
        <f>IFERROR(__xludf.DUMMYFUNCTION("""COMPUTED_VALUE"""),42744.288037301885)</f>
        <v>42744.28804</v>
      </c>
      <c r="C1404" s="1" t="str">
        <f>IFERROR(__xludf.DUMMYFUNCTION("""COMPUTED_VALUE"""),"control")</f>
        <v>control</v>
      </c>
      <c r="D1404" s="1" t="str">
        <f>IFERROR(__xludf.DUMMYFUNCTION("""COMPUTED_VALUE"""),"old_page")</f>
        <v>old_page</v>
      </c>
      <c r="E1404" s="1">
        <f>IFERROR(__xludf.DUMMYFUNCTION("""COMPUTED_VALUE"""),0.0)</f>
        <v>0</v>
      </c>
    </row>
    <row r="1405">
      <c r="A1405" s="1">
        <f>IFERROR(__xludf.DUMMYFUNCTION("""COMPUTED_VALUE"""),844327.0)</f>
        <v>844327</v>
      </c>
      <c r="B1405" s="2">
        <f>IFERROR(__xludf.DUMMYFUNCTION("""COMPUTED_VALUE"""),42739.84661256382)</f>
        <v>42739.84661</v>
      </c>
      <c r="C1405" s="1" t="str">
        <f>IFERROR(__xludf.DUMMYFUNCTION("""COMPUTED_VALUE"""),"control")</f>
        <v>control</v>
      </c>
      <c r="D1405" s="1" t="str">
        <f>IFERROR(__xludf.DUMMYFUNCTION("""COMPUTED_VALUE"""),"old_page")</f>
        <v>old_page</v>
      </c>
      <c r="E1405" s="1">
        <f>IFERROR(__xludf.DUMMYFUNCTION("""COMPUTED_VALUE"""),0.0)</f>
        <v>0</v>
      </c>
    </row>
    <row r="1406">
      <c r="A1406" s="1">
        <f>IFERROR(__xludf.DUMMYFUNCTION("""COMPUTED_VALUE"""),793026.0)</f>
        <v>793026</v>
      </c>
      <c r="B1406" s="2">
        <f>IFERROR(__xludf.DUMMYFUNCTION("""COMPUTED_VALUE"""),42754.15175845463)</f>
        <v>42754.15176</v>
      </c>
      <c r="C1406" s="1" t="str">
        <f>IFERROR(__xludf.DUMMYFUNCTION("""COMPUTED_VALUE"""),"control")</f>
        <v>control</v>
      </c>
      <c r="D1406" s="1" t="str">
        <f>IFERROR(__xludf.DUMMYFUNCTION("""COMPUTED_VALUE"""),"old_page")</f>
        <v>old_page</v>
      </c>
      <c r="E1406" s="1">
        <f>IFERROR(__xludf.DUMMYFUNCTION("""COMPUTED_VALUE"""),1.0)</f>
        <v>1</v>
      </c>
    </row>
    <row r="1407">
      <c r="A1407" s="1">
        <f>IFERROR(__xludf.DUMMYFUNCTION("""COMPUTED_VALUE"""),840187.0)</f>
        <v>840187</v>
      </c>
      <c r="B1407" s="2">
        <f>IFERROR(__xludf.DUMMYFUNCTION("""COMPUTED_VALUE"""),42745.74675476179)</f>
        <v>42745.74675</v>
      </c>
      <c r="C1407" s="1" t="str">
        <f>IFERROR(__xludf.DUMMYFUNCTION("""COMPUTED_VALUE"""),"treatment")</f>
        <v>treatment</v>
      </c>
      <c r="D1407" s="1" t="str">
        <f>IFERROR(__xludf.DUMMYFUNCTION("""COMPUTED_VALUE"""),"new_page")</f>
        <v>new_page</v>
      </c>
      <c r="E1407" s="1">
        <f>IFERROR(__xludf.DUMMYFUNCTION("""COMPUTED_VALUE"""),0.0)</f>
        <v>0</v>
      </c>
    </row>
    <row r="1408">
      <c r="A1408" s="1">
        <f>IFERROR(__xludf.DUMMYFUNCTION("""COMPUTED_VALUE"""),730331.0)</f>
        <v>730331</v>
      </c>
      <c r="B1408" s="2">
        <f>IFERROR(__xludf.DUMMYFUNCTION("""COMPUTED_VALUE"""),42743.89630485124)</f>
        <v>42743.8963</v>
      </c>
      <c r="C1408" s="1" t="str">
        <f>IFERROR(__xludf.DUMMYFUNCTION("""COMPUTED_VALUE"""),"treatment")</f>
        <v>treatment</v>
      </c>
      <c r="D1408" s="1" t="str">
        <f>IFERROR(__xludf.DUMMYFUNCTION("""COMPUTED_VALUE"""),"new_page")</f>
        <v>new_page</v>
      </c>
      <c r="E1408" s="1">
        <f>IFERROR(__xludf.DUMMYFUNCTION("""COMPUTED_VALUE"""),1.0)</f>
        <v>1</v>
      </c>
    </row>
    <row r="1409">
      <c r="A1409" s="1">
        <f>IFERROR(__xludf.DUMMYFUNCTION("""COMPUTED_VALUE"""),773346.0)</f>
        <v>773346</v>
      </c>
      <c r="B1409" s="2">
        <f>IFERROR(__xludf.DUMMYFUNCTION("""COMPUTED_VALUE"""),42743.46273275789)</f>
        <v>42743.46273</v>
      </c>
      <c r="C1409" s="1" t="str">
        <f>IFERROR(__xludf.DUMMYFUNCTION("""COMPUTED_VALUE"""),"treatment")</f>
        <v>treatment</v>
      </c>
      <c r="D1409" s="1" t="str">
        <f>IFERROR(__xludf.DUMMYFUNCTION("""COMPUTED_VALUE"""),"new_page")</f>
        <v>new_page</v>
      </c>
      <c r="E1409" s="1">
        <f>IFERROR(__xludf.DUMMYFUNCTION("""COMPUTED_VALUE"""),0.0)</f>
        <v>0</v>
      </c>
    </row>
    <row r="1410">
      <c r="A1410" s="1">
        <f>IFERROR(__xludf.DUMMYFUNCTION("""COMPUTED_VALUE"""),689670.0)</f>
        <v>689670</v>
      </c>
      <c r="B1410" s="2">
        <f>IFERROR(__xludf.DUMMYFUNCTION("""COMPUTED_VALUE"""),42740.253259820274)</f>
        <v>42740.25326</v>
      </c>
      <c r="C1410" s="1" t="str">
        <f>IFERROR(__xludf.DUMMYFUNCTION("""COMPUTED_VALUE"""),"control")</f>
        <v>control</v>
      </c>
      <c r="D1410" s="1" t="str">
        <f>IFERROR(__xludf.DUMMYFUNCTION("""COMPUTED_VALUE"""),"old_page")</f>
        <v>old_page</v>
      </c>
      <c r="E1410" s="1">
        <f>IFERROR(__xludf.DUMMYFUNCTION("""COMPUTED_VALUE"""),0.0)</f>
        <v>0</v>
      </c>
    </row>
    <row r="1411">
      <c r="A1411" s="1">
        <f>IFERROR(__xludf.DUMMYFUNCTION("""COMPUTED_VALUE"""),695956.0)</f>
        <v>695956</v>
      </c>
      <c r="B1411" s="2">
        <f>IFERROR(__xludf.DUMMYFUNCTION("""COMPUTED_VALUE"""),42753.86603487779)</f>
        <v>42753.86603</v>
      </c>
      <c r="C1411" s="1" t="str">
        <f>IFERROR(__xludf.DUMMYFUNCTION("""COMPUTED_VALUE"""),"control")</f>
        <v>control</v>
      </c>
      <c r="D1411" s="1" t="str">
        <f>IFERROR(__xludf.DUMMYFUNCTION("""COMPUTED_VALUE"""),"old_page")</f>
        <v>old_page</v>
      </c>
      <c r="E1411" s="1">
        <f>IFERROR(__xludf.DUMMYFUNCTION("""COMPUTED_VALUE"""),0.0)</f>
        <v>0</v>
      </c>
    </row>
    <row r="1412">
      <c r="A1412" s="1">
        <f>IFERROR(__xludf.DUMMYFUNCTION("""COMPUTED_VALUE"""),833725.0)</f>
        <v>833725</v>
      </c>
      <c r="B1412" s="2">
        <f>IFERROR(__xludf.DUMMYFUNCTION("""COMPUTED_VALUE"""),42753.75861312592)</f>
        <v>42753.75861</v>
      </c>
      <c r="C1412" s="1" t="str">
        <f>IFERROR(__xludf.DUMMYFUNCTION("""COMPUTED_VALUE"""),"treatment")</f>
        <v>treatment</v>
      </c>
      <c r="D1412" s="1" t="str">
        <f>IFERROR(__xludf.DUMMYFUNCTION("""COMPUTED_VALUE"""),"new_page")</f>
        <v>new_page</v>
      </c>
      <c r="E1412" s="1">
        <f>IFERROR(__xludf.DUMMYFUNCTION("""COMPUTED_VALUE"""),0.0)</f>
        <v>0</v>
      </c>
    </row>
    <row r="1413">
      <c r="A1413" s="1">
        <f>IFERROR(__xludf.DUMMYFUNCTION("""COMPUTED_VALUE"""),663109.0)</f>
        <v>663109</v>
      </c>
      <c r="B1413" s="2">
        <f>IFERROR(__xludf.DUMMYFUNCTION("""COMPUTED_VALUE"""),42739.60213266719)</f>
        <v>42739.60213</v>
      </c>
      <c r="C1413" s="1" t="str">
        <f>IFERROR(__xludf.DUMMYFUNCTION("""COMPUTED_VALUE"""),"control")</f>
        <v>control</v>
      </c>
      <c r="D1413" s="1" t="str">
        <f>IFERROR(__xludf.DUMMYFUNCTION("""COMPUTED_VALUE"""),"old_page")</f>
        <v>old_page</v>
      </c>
      <c r="E1413" s="1">
        <f>IFERROR(__xludf.DUMMYFUNCTION("""COMPUTED_VALUE"""),0.0)</f>
        <v>0</v>
      </c>
    </row>
    <row r="1414">
      <c r="A1414" s="1">
        <f>IFERROR(__xludf.DUMMYFUNCTION("""COMPUTED_VALUE"""),708699.0)</f>
        <v>708699</v>
      </c>
      <c r="B1414" s="2">
        <f>IFERROR(__xludf.DUMMYFUNCTION("""COMPUTED_VALUE"""),42749.77940194383)</f>
        <v>42749.7794</v>
      </c>
      <c r="C1414" s="1" t="str">
        <f>IFERROR(__xludf.DUMMYFUNCTION("""COMPUTED_VALUE"""),"treatment")</f>
        <v>treatment</v>
      </c>
      <c r="D1414" s="1" t="str">
        <f>IFERROR(__xludf.DUMMYFUNCTION("""COMPUTED_VALUE"""),"new_page")</f>
        <v>new_page</v>
      </c>
      <c r="E1414" s="1">
        <f>IFERROR(__xludf.DUMMYFUNCTION("""COMPUTED_VALUE"""),0.0)</f>
        <v>0</v>
      </c>
    </row>
    <row r="1415">
      <c r="A1415" s="1">
        <f>IFERROR(__xludf.DUMMYFUNCTION("""COMPUTED_VALUE"""),860856.0)</f>
        <v>860856</v>
      </c>
      <c r="B1415" s="2">
        <f>IFERROR(__xludf.DUMMYFUNCTION("""COMPUTED_VALUE"""),42746.49082349942)</f>
        <v>42746.49082</v>
      </c>
      <c r="C1415" s="1" t="str">
        <f>IFERROR(__xludf.DUMMYFUNCTION("""COMPUTED_VALUE"""),"treatment")</f>
        <v>treatment</v>
      </c>
      <c r="D1415" s="1" t="str">
        <f>IFERROR(__xludf.DUMMYFUNCTION("""COMPUTED_VALUE"""),"new_page")</f>
        <v>new_page</v>
      </c>
      <c r="E1415" s="1">
        <f>IFERROR(__xludf.DUMMYFUNCTION("""COMPUTED_VALUE"""),0.0)</f>
        <v>0</v>
      </c>
    </row>
    <row r="1416">
      <c r="A1416" s="1">
        <f>IFERROR(__xludf.DUMMYFUNCTION("""COMPUTED_VALUE"""),698290.0)</f>
        <v>698290</v>
      </c>
      <c r="B1416" s="2">
        <f>IFERROR(__xludf.DUMMYFUNCTION("""COMPUTED_VALUE"""),42747.67109583671)</f>
        <v>42747.6711</v>
      </c>
      <c r="C1416" s="1" t="str">
        <f>IFERROR(__xludf.DUMMYFUNCTION("""COMPUTED_VALUE"""),"control")</f>
        <v>control</v>
      </c>
      <c r="D1416" s="1" t="str">
        <f>IFERROR(__xludf.DUMMYFUNCTION("""COMPUTED_VALUE"""),"old_page")</f>
        <v>old_page</v>
      </c>
      <c r="E1416" s="1">
        <f>IFERROR(__xludf.DUMMYFUNCTION("""COMPUTED_VALUE"""),0.0)</f>
        <v>0</v>
      </c>
    </row>
    <row r="1417">
      <c r="A1417" s="1">
        <f>IFERROR(__xludf.DUMMYFUNCTION("""COMPUTED_VALUE"""),728092.0)</f>
        <v>728092</v>
      </c>
      <c r="B1417" s="2">
        <f>IFERROR(__xludf.DUMMYFUNCTION("""COMPUTED_VALUE"""),42739.63881447485)</f>
        <v>42739.63881</v>
      </c>
      <c r="C1417" s="1" t="str">
        <f>IFERROR(__xludf.DUMMYFUNCTION("""COMPUTED_VALUE"""),"control")</f>
        <v>control</v>
      </c>
      <c r="D1417" s="1" t="str">
        <f>IFERROR(__xludf.DUMMYFUNCTION("""COMPUTED_VALUE"""),"old_page")</f>
        <v>old_page</v>
      </c>
      <c r="E1417" s="1">
        <f>IFERROR(__xludf.DUMMYFUNCTION("""COMPUTED_VALUE"""),1.0)</f>
        <v>1</v>
      </c>
    </row>
    <row r="1418">
      <c r="A1418" s="1">
        <f>IFERROR(__xludf.DUMMYFUNCTION("""COMPUTED_VALUE"""),825913.0)</f>
        <v>825913</v>
      </c>
      <c r="B1418" s="2">
        <f>IFERROR(__xludf.DUMMYFUNCTION("""COMPUTED_VALUE"""),42750.82043136214)</f>
        <v>42750.82043</v>
      </c>
      <c r="C1418" s="1" t="str">
        <f>IFERROR(__xludf.DUMMYFUNCTION("""COMPUTED_VALUE"""),"treatment")</f>
        <v>treatment</v>
      </c>
      <c r="D1418" s="1" t="str">
        <f>IFERROR(__xludf.DUMMYFUNCTION("""COMPUTED_VALUE"""),"new_page")</f>
        <v>new_page</v>
      </c>
      <c r="E1418" s="1">
        <f>IFERROR(__xludf.DUMMYFUNCTION("""COMPUTED_VALUE"""),0.0)</f>
        <v>0</v>
      </c>
    </row>
    <row r="1419">
      <c r="A1419" s="1">
        <f>IFERROR(__xludf.DUMMYFUNCTION("""COMPUTED_VALUE"""),821279.0)</f>
        <v>821279</v>
      </c>
      <c r="B1419" s="2">
        <f>IFERROR(__xludf.DUMMYFUNCTION("""COMPUTED_VALUE"""),42746.15841590201)</f>
        <v>42746.15842</v>
      </c>
      <c r="C1419" s="1" t="str">
        <f>IFERROR(__xludf.DUMMYFUNCTION("""COMPUTED_VALUE"""),"control")</f>
        <v>control</v>
      </c>
      <c r="D1419" s="1" t="str">
        <f>IFERROR(__xludf.DUMMYFUNCTION("""COMPUTED_VALUE"""),"old_page")</f>
        <v>old_page</v>
      </c>
      <c r="E1419" s="1">
        <f>IFERROR(__xludf.DUMMYFUNCTION("""COMPUTED_VALUE"""),0.0)</f>
        <v>0</v>
      </c>
    </row>
    <row r="1420">
      <c r="A1420" s="1">
        <f>IFERROR(__xludf.DUMMYFUNCTION("""COMPUTED_VALUE"""),810401.0)</f>
        <v>810401</v>
      </c>
      <c r="B1420" s="2">
        <f>IFERROR(__xludf.DUMMYFUNCTION("""COMPUTED_VALUE"""),42739.33748290015)</f>
        <v>42739.33748</v>
      </c>
      <c r="C1420" s="1" t="str">
        <f>IFERROR(__xludf.DUMMYFUNCTION("""COMPUTED_VALUE"""),"control")</f>
        <v>control</v>
      </c>
      <c r="D1420" s="1" t="str">
        <f>IFERROR(__xludf.DUMMYFUNCTION("""COMPUTED_VALUE"""),"old_page")</f>
        <v>old_page</v>
      </c>
      <c r="E1420" s="1">
        <f>IFERROR(__xludf.DUMMYFUNCTION("""COMPUTED_VALUE"""),0.0)</f>
        <v>0</v>
      </c>
    </row>
    <row r="1421">
      <c r="A1421" s="1">
        <f>IFERROR(__xludf.DUMMYFUNCTION("""COMPUTED_VALUE"""),898321.0)</f>
        <v>898321</v>
      </c>
      <c r="B1421" s="2">
        <f>IFERROR(__xludf.DUMMYFUNCTION("""COMPUTED_VALUE"""),42751.27039727965)</f>
        <v>42751.2704</v>
      </c>
      <c r="C1421" s="1" t="str">
        <f>IFERROR(__xludf.DUMMYFUNCTION("""COMPUTED_VALUE"""),"treatment")</f>
        <v>treatment</v>
      </c>
      <c r="D1421" s="1" t="str">
        <f>IFERROR(__xludf.DUMMYFUNCTION("""COMPUTED_VALUE"""),"new_page")</f>
        <v>new_page</v>
      </c>
      <c r="E1421" s="1">
        <f>IFERROR(__xludf.DUMMYFUNCTION("""COMPUTED_VALUE"""),0.0)</f>
        <v>0</v>
      </c>
    </row>
    <row r="1422">
      <c r="A1422" s="1">
        <f>IFERROR(__xludf.DUMMYFUNCTION("""COMPUTED_VALUE"""),738994.0)</f>
        <v>738994</v>
      </c>
      <c r="B1422" s="2">
        <f>IFERROR(__xludf.DUMMYFUNCTION("""COMPUTED_VALUE"""),42749.12471656607)</f>
        <v>42749.12472</v>
      </c>
      <c r="C1422" s="1" t="str">
        <f>IFERROR(__xludf.DUMMYFUNCTION("""COMPUTED_VALUE"""),"treatment")</f>
        <v>treatment</v>
      </c>
      <c r="D1422" s="1" t="str">
        <f>IFERROR(__xludf.DUMMYFUNCTION("""COMPUTED_VALUE"""),"new_page")</f>
        <v>new_page</v>
      </c>
      <c r="E1422" s="1">
        <f>IFERROR(__xludf.DUMMYFUNCTION("""COMPUTED_VALUE"""),0.0)</f>
        <v>0</v>
      </c>
    </row>
    <row r="1423">
      <c r="A1423" s="1">
        <f>IFERROR(__xludf.DUMMYFUNCTION("""COMPUTED_VALUE"""),805240.0)</f>
        <v>805240</v>
      </c>
      <c r="B1423" s="2">
        <f>IFERROR(__xludf.DUMMYFUNCTION("""COMPUTED_VALUE"""),42737.65816810184)</f>
        <v>42737.65817</v>
      </c>
      <c r="C1423" s="1" t="str">
        <f>IFERROR(__xludf.DUMMYFUNCTION("""COMPUTED_VALUE"""),"control")</f>
        <v>control</v>
      </c>
      <c r="D1423" s="1" t="str">
        <f>IFERROR(__xludf.DUMMYFUNCTION("""COMPUTED_VALUE"""),"old_page")</f>
        <v>old_page</v>
      </c>
      <c r="E1423" s="1">
        <f>IFERROR(__xludf.DUMMYFUNCTION("""COMPUTED_VALUE"""),0.0)</f>
        <v>0</v>
      </c>
    </row>
    <row r="1424">
      <c r="A1424" s="1">
        <f>IFERROR(__xludf.DUMMYFUNCTION("""COMPUTED_VALUE"""),840680.0)</f>
        <v>840680</v>
      </c>
      <c r="B1424" s="2">
        <f>IFERROR(__xludf.DUMMYFUNCTION("""COMPUTED_VALUE"""),42757.9904529364)</f>
        <v>42757.99045</v>
      </c>
      <c r="C1424" s="1" t="str">
        <f>IFERROR(__xludf.DUMMYFUNCTION("""COMPUTED_VALUE"""),"treatment")</f>
        <v>treatment</v>
      </c>
      <c r="D1424" s="1" t="str">
        <f>IFERROR(__xludf.DUMMYFUNCTION("""COMPUTED_VALUE"""),"new_page")</f>
        <v>new_page</v>
      </c>
      <c r="E1424" s="1">
        <f>IFERROR(__xludf.DUMMYFUNCTION("""COMPUTED_VALUE"""),0.0)</f>
        <v>0</v>
      </c>
    </row>
    <row r="1425">
      <c r="A1425" s="1">
        <f>IFERROR(__xludf.DUMMYFUNCTION("""COMPUTED_VALUE"""),694769.0)</f>
        <v>694769</v>
      </c>
      <c r="B1425" s="2">
        <f>IFERROR(__xludf.DUMMYFUNCTION("""COMPUTED_VALUE"""),42746.0007229552)</f>
        <v>42746.00072</v>
      </c>
      <c r="C1425" s="1" t="str">
        <f>IFERROR(__xludf.DUMMYFUNCTION("""COMPUTED_VALUE"""),"control")</f>
        <v>control</v>
      </c>
      <c r="D1425" s="1" t="str">
        <f>IFERROR(__xludf.DUMMYFUNCTION("""COMPUTED_VALUE"""),"old_page")</f>
        <v>old_page</v>
      </c>
      <c r="E1425" s="1">
        <f>IFERROR(__xludf.DUMMYFUNCTION("""COMPUTED_VALUE"""),0.0)</f>
        <v>0</v>
      </c>
    </row>
    <row r="1426">
      <c r="A1426" s="1">
        <f>IFERROR(__xludf.DUMMYFUNCTION("""COMPUTED_VALUE"""),640808.0)</f>
        <v>640808</v>
      </c>
      <c r="B1426" s="2">
        <f>IFERROR(__xludf.DUMMYFUNCTION("""COMPUTED_VALUE"""),42756.97978170029)</f>
        <v>42756.97978</v>
      </c>
      <c r="C1426" s="1" t="str">
        <f>IFERROR(__xludf.DUMMYFUNCTION("""COMPUTED_VALUE"""),"control")</f>
        <v>control</v>
      </c>
      <c r="D1426" s="1" t="str">
        <f>IFERROR(__xludf.DUMMYFUNCTION("""COMPUTED_VALUE"""),"old_page")</f>
        <v>old_page</v>
      </c>
      <c r="E1426" s="1">
        <f>IFERROR(__xludf.DUMMYFUNCTION("""COMPUTED_VALUE"""),1.0)</f>
        <v>1</v>
      </c>
    </row>
    <row r="1427">
      <c r="A1427" s="1">
        <f>IFERROR(__xludf.DUMMYFUNCTION("""COMPUTED_VALUE"""),710798.0)</f>
        <v>710798</v>
      </c>
      <c r="B1427" s="2">
        <f>IFERROR(__xludf.DUMMYFUNCTION("""COMPUTED_VALUE"""),42759.360073898024)</f>
        <v>42759.36007</v>
      </c>
      <c r="C1427" s="1" t="str">
        <f>IFERROR(__xludf.DUMMYFUNCTION("""COMPUTED_VALUE"""),"control")</f>
        <v>control</v>
      </c>
      <c r="D1427" s="1" t="str">
        <f>IFERROR(__xludf.DUMMYFUNCTION("""COMPUTED_VALUE"""),"old_page")</f>
        <v>old_page</v>
      </c>
      <c r="E1427" s="1">
        <f>IFERROR(__xludf.DUMMYFUNCTION("""COMPUTED_VALUE"""),0.0)</f>
        <v>0</v>
      </c>
    </row>
    <row r="1428">
      <c r="A1428" s="1">
        <f>IFERROR(__xludf.DUMMYFUNCTION("""COMPUTED_VALUE"""),694395.0)</f>
        <v>694395</v>
      </c>
      <c r="B1428" s="2">
        <f>IFERROR(__xludf.DUMMYFUNCTION("""COMPUTED_VALUE"""),42738.080101738844)</f>
        <v>42738.0801</v>
      </c>
      <c r="C1428" s="1" t="str">
        <f>IFERROR(__xludf.DUMMYFUNCTION("""COMPUTED_VALUE"""),"treatment")</f>
        <v>treatment</v>
      </c>
      <c r="D1428" s="1" t="str">
        <f>IFERROR(__xludf.DUMMYFUNCTION("""COMPUTED_VALUE"""),"new_page")</f>
        <v>new_page</v>
      </c>
      <c r="E1428" s="1">
        <f>IFERROR(__xludf.DUMMYFUNCTION("""COMPUTED_VALUE"""),0.0)</f>
        <v>0</v>
      </c>
    </row>
    <row r="1429">
      <c r="A1429" s="1">
        <f>IFERROR(__xludf.DUMMYFUNCTION("""COMPUTED_VALUE"""),809170.0)</f>
        <v>809170</v>
      </c>
      <c r="B1429" s="2">
        <f>IFERROR(__xludf.DUMMYFUNCTION("""COMPUTED_VALUE"""),42746.408344927804)</f>
        <v>42746.40834</v>
      </c>
      <c r="C1429" s="1" t="str">
        <f>IFERROR(__xludf.DUMMYFUNCTION("""COMPUTED_VALUE"""),"treatment")</f>
        <v>treatment</v>
      </c>
      <c r="D1429" s="1" t="str">
        <f>IFERROR(__xludf.DUMMYFUNCTION("""COMPUTED_VALUE"""),"new_page")</f>
        <v>new_page</v>
      </c>
      <c r="E1429" s="1">
        <f>IFERROR(__xludf.DUMMYFUNCTION("""COMPUTED_VALUE"""),1.0)</f>
        <v>1</v>
      </c>
    </row>
    <row r="1430">
      <c r="A1430" s="1">
        <f>IFERROR(__xludf.DUMMYFUNCTION("""COMPUTED_VALUE"""),799468.0)</f>
        <v>799468</v>
      </c>
      <c r="B1430" s="2">
        <f>IFERROR(__xludf.DUMMYFUNCTION("""COMPUTED_VALUE"""),42743.164443106376)</f>
        <v>42743.16444</v>
      </c>
      <c r="C1430" s="1" t="str">
        <f>IFERROR(__xludf.DUMMYFUNCTION("""COMPUTED_VALUE"""),"treatment")</f>
        <v>treatment</v>
      </c>
      <c r="D1430" s="1" t="str">
        <f>IFERROR(__xludf.DUMMYFUNCTION("""COMPUTED_VALUE"""),"new_page")</f>
        <v>new_page</v>
      </c>
      <c r="E1430" s="1">
        <f>IFERROR(__xludf.DUMMYFUNCTION("""COMPUTED_VALUE"""),0.0)</f>
        <v>0</v>
      </c>
    </row>
    <row r="1431">
      <c r="A1431" s="1">
        <f>IFERROR(__xludf.DUMMYFUNCTION("""COMPUTED_VALUE"""),759860.0)</f>
        <v>759860</v>
      </c>
      <c r="B1431" s="2">
        <f>IFERROR(__xludf.DUMMYFUNCTION("""COMPUTED_VALUE"""),42746.37424057628)</f>
        <v>42746.37424</v>
      </c>
      <c r="C1431" s="1" t="str">
        <f>IFERROR(__xludf.DUMMYFUNCTION("""COMPUTED_VALUE"""),"treatment")</f>
        <v>treatment</v>
      </c>
      <c r="D1431" s="1" t="str">
        <f>IFERROR(__xludf.DUMMYFUNCTION("""COMPUTED_VALUE"""),"new_page")</f>
        <v>new_page</v>
      </c>
      <c r="E1431" s="1">
        <f>IFERROR(__xludf.DUMMYFUNCTION("""COMPUTED_VALUE"""),0.0)</f>
        <v>0</v>
      </c>
    </row>
    <row r="1432">
      <c r="A1432" s="1">
        <f>IFERROR(__xludf.DUMMYFUNCTION("""COMPUTED_VALUE"""),858509.0)</f>
        <v>858509</v>
      </c>
      <c r="B1432" s="2">
        <f>IFERROR(__xludf.DUMMYFUNCTION("""COMPUTED_VALUE"""),42757.92109021998)</f>
        <v>42757.92109</v>
      </c>
      <c r="C1432" s="1" t="str">
        <f>IFERROR(__xludf.DUMMYFUNCTION("""COMPUTED_VALUE"""),"treatment")</f>
        <v>treatment</v>
      </c>
      <c r="D1432" s="1" t="str">
        <f>IFERROR(__xludf.DUMMYFUNCTION("""COMPUTED_VALUE"""),"new_page")</f>
        <v>new_page</v>
      </c>
      <c r="E1432" s="1">
        <f>IFERROR(__xludf.DUMMYFUNCTION("""COMPUTED_VALUE"""),0.0)</f>
        <v>0</v>
      </c>
    </row>
    <row r="1433">
      <c r="A1433" s="1">
        <f>IFERROR(__xludf.DUMMYFUNCTION("""COMPUTED_VALUE"""),864861.0)</f>
        <v>864861</v>
      </c>
      <c r="B1433" s="2">
        <f>IFERROR(__xludf.DUMMYFUNCTION("""COMPUTED_VALUE"""),42755.15382268986)</f>
        <v>42755.15382</v>
      </c>
      <c r="C1433" s="1" t="str">
        <f>IFERROR(__xludf.DUMMYFUNCTION("""COMPUTED_VALUE"""),"control")</f>
        <v>control</v>
      </c>
      <c r="D1433" s="1" t="str">
        <f>IFERROR(__xludf.DUMMYFUNCTION("""COMPUTED_VALUE"""),"old_page")</f>
        <v>old_page</v>
      </c>
      <c r="E1433" s="1">
        <f>IFERROR(__xludf.DUMMYFUNCTION("""COMPUTED_VALUE"""),0.0)</f>
        <v>0</v>
      </c>
    </row>
    <row r="1434">
      <c r="A1434" s="1">
        <f>IFERROR(__xludf.DUMMYFUNCTION("""COMPUTED_VALUE"""),932459.0)</f>
        <v>932459</v>
      </c>
      <c r="B1434" s="2">
        <f>IFERROR(__xludf.DUMMYFUNCTION("""COMPUTED_VALUE"""),42754.991633618934)</f>
        <v>42754.99163</v>
      </c>
      <c r="C1434" s="1" t="str">
        <f>IFERROR(__xludf.DUMMYFUNCTION("""COMPUTED_VALUE"""),"treatment")</f>
        <v>treatment</v>
      </c>
      <c r="D1434" s="1" t="str">
        <f>IFERROR(__xludf.DUMMYFUNCTION("""COMPUTED_VALUE"""),"new_page")</f>
        <v>new_page</v>
      </c>
      <c r="E1434" s="1">
        <f>IFERROR(__xludf.DUMMYFUNCTION("""COMPUTED_VALUE"""),0.0)</f>
        <v>0</v>
      </c>
    </row>
    <row r="1435">
      <c r="A1435" s="1">
        <f>IFERROR(__xludf.DUMMYFUNCTION("""COMPUTED_VALUE"""),770309.0)</f>
        <v>770309</v>
      </c>
      <c r="B1435" s="2">
        <f>IFERROR(__xludf.DUMMYFUNCTION("""COMPUTED_VALUE"""),42742.98016922683)</f>
        <v>42742.98017</v>
      </c>
      <c r="C1435" s="1" t="str">
        <f>IFERROR(__xludf.DUMMYFUNCTION("""COMPUTED_VALUE"""),"control")</f>
        <v>control</v>
      </c>
      <c r="D1435" s="1" t="str">
        <f>IFERROR(__xludf.DUMMYFUNCTION("""COMPUTED_VALUE"""),"old_page")</f>
        <v>old_page</v>
      </c>
      <c r="E1435" s="1">
        <f>IFERROR(__xludf.DUMMYFUNCTION("""COMPUTED_VALUE"""),0.0)</f>
        <v>0</v>
      </c>
    </row>
    <row r="1436">
      <c r="A1436" s="1">
        <f>IFERROR(__xludf.DUMMYFUNCTION("""COMPUTED_VALUE"""),860209.0)</f>
        <v>860209</v>
      </c>
      <c r="B1436" s="2">
        <f>IFERROR(__xludf.DUMMYFUNCTION("""COMPUTED_VALUE"""),42743.261109145045)</f>
        <v>42743.26111</v>
      </c>
      <c r="C1436" s="1" t="str">
        <f>IFERROR(__xludf.DUMMYFUNCTION("""COMPUTED_VALUE"""),"treatment")</f>
        <v>treatment</v>
      </c>
      <c r="D1436" s="1" t="str">
        <f>IFERROR(__xludf.DUMMYFUNCTION("""COMPUTED_VALUE"""),"new_page")</f>
        <v>new_page</v>
      </c>
      <c r="E1436" s="1">
        <f>IFERROR(__xludf.DUMMYFUNCTION("""COMPUTED_VALUE"""),0.0)</f>
        <v>0</v>
      </c>
    </row>
    <row r="1437">
      <c r="A1437" s="1">
        <f>IFERROR(__xludf.DUMMYFUNCTION("""COMPUTED_VALUE"""),885626.0)</f>
        <v>885626</v>
      </c>
      <c r="B1437" s="2">
        <f>IFERROR(__xludf.DUMMYFUNCTION("""COMPUTED_VALUE"""),42739.62555797912)</f>
        <v>42739.62556</v>
      </c>
      <c r="C1437" s="1" t="str">
        <f>IFERROR(__xludf.DUMMYFUNCTION("""COMPUTED_VALUE"""),"control")</f>
        <v>control</v>
      </c>
      <c r="D1437" s="1" t="str">
        <f>IFERROR(__xludf.DUMMYFUNCTION("""COMPUTED_VALUE"""),"old_page")</f>
        <v>old_page</v>
      </c>
      <c r="E1437" s="1">
        <f>IFERROR(__xludf.DUMMYFUNCTION("""COMPUTED_VALUE"""),0.0)</f>
        <v>0</v>
      </c>
    </row>
    <row r="1438">
      <c r="A1438" s="1">
        <f>IFERROR(__xludf.DUMMYFUNCTION("""COMPUTED_VALUE"""),858119.0)</f>
        <v>858119</v>
      </c>
      <c r="B1438" s="2">
        <f>IFERROR(__xludf.DUMMYFUNCTION("""COMPUTED_VALUE"""),42748.73261997311)</f>
        <v>42748.73262</v>
      </c>
      <c r="C1438" s="1" t="str">
        <f>IFERROR(__xludf.DUMMYFUNCTION("""COMPUTED_VALUE"""),"treatment")</f>
        <v>treatment</v>
      </c>
      <c r="D1438" s="1" t="str">
        <f>IFERROR(__xludf.DUMMYFUNCTION("""COMPUTED_VALUE"""),"new_page")</f>
        <v>new_page</v>
      </c>
      <c r="E1438" s="1">
        <f>IFERROR(__xludf.DUMMYFUNCTION("""COMPUTED_VALUE"""),0.0)</f>
        <v>0</v>
      </c>
    </row>
    <row r="1439">
      <c r="A1439" s="1">
        <f>IFERROR(__xludf.DUMMYFUNCTION("""COMPUTED_VALUE"""),891576.0)</f>
        <v>891576</v>
      </c>
      <c r="B1439" s="2">
        <f>IFERROR(__xludf.DUMMYFUNCTION("""COMPUTED_VALUE"""),42747.27831225199)</f>
        <v>42747.27831</v>
      </c>
      <c r="C1439" s="1" t="str">
        <f>IFERROR(__xludf.DUMMYFUNCTION("""COMPUTED_VALUE"""),"control")</f>
        <v>control</v>
      </c>
      <c r="D1439" s="1" t="str">
        <f>IFERROR(__xludf.DUMMYFUNCTION("""COMPUTED_VALUE"""),"old_page")</f>
        <v>old_page</v>
      </c>
      <c r="E1439" s="1">
        <f>IFERROR(__xludf.DUMMYFUNCTION("""COMPUTED_VALUE"""),0.0)</f>
        <v>0</v>
      </c>
    </row>
    <row r="1440">
      <c r="A1440" s="1">
        <f>IFERROR(__xludf.DUMMYFUNCTION("""COMPUTED_VALUE"""),825741.0)</f>
        <v>825741</v>
      </c>
      <c r="B1440" s="2">
        <f>IFERROR(__xludf.DUMMYFUNCTION("""COMPUTED_VALUE"""),42745.82084096537)</f>
        <v>42745.82084</v>
      </c>
      <c r="C1440" s="1" t="str">
        <f>IFERROR(__xludf.DUMMYFUNCTION("""COMPUTED_VALUE"""),"control")</f>
        <v>control</v>
      </c>
      <c r="D1440" s="1" t="str">
        <f>IFERROR(__xludf.DUMMYFUNCTION("""COMPUTED_VALUE"""),"old_page")</f>
        <v>old_page</v>
      </c>
      <c r="E1440" s="1">
        <f>IFERROR(__xludf.DUMMYFUNCTION("""COMPUTED_VALUE"""),0.0)</f>
        <v>0</v>
      </c>
    </row>
    <row r="1441">
      <c r="A1441" s="1">
        <f>IFERROR(__xludf.DUMMYFUNCTION("""COMPUTED_VALUE"""),888993.0)</f>
        <v>888993</v>
      </c>
      <c r="B1441" s="2">
        <f>IFERROR(__xludf.DUMMYFUNCTION("""COMPUTED_VALUE"""),42738.10894120886)</f>
        <v>42738.10894</v>
      </c>
      <c r="C1441" s="1" t="str">
        <f>IFERROR(__xludf.DUMMYFUNCTION("""COMPUTED_VALUE"""),"control")</f>
        <v>control</v>
      </c>
      <c r="D1441" s="1" t="str">
        <f>IFERROR(__xludf.DUMMYFUNCTION("""COMPUTED_VALUE"""),"old_page")</f>
        <v>old_page</v>
      </c>
      <c r="E1441" s="1">
        <f>IFERROR(__xludf.DUMMYFUNCTION("""COMPUTED_VALUE"""),0.0)</f>
        <v>0</v>
      </c>
    </row>
    <row r="1442">
      <c r="A1442" s="1">
        <f>IFERROR(__xludf.DUMMYFUNCTION("""COMPUTED_VALUE"""),669427.0)</f>
        <v>669427</v>
      </c>
      <c r="B1442" s="2">
        <f>IFERROR(__xludf.DUMMYFUNCTION("""COMPUTED_VALUE"""),42741.91145811139)</f>
        <v>42741.91146</v>
      </c>
      <c r="C1442" s="1" t="str">
        <f>IFERROR(__xludf.DUMMYFUNCTION("""COMPUTED_VALUE"""),"control")</f>
        <v>control</v>
      </c>
      <c r="D1442" s="1" t="str">
        <f>IFERROR(__xludf.DUMMYFUNCTION("""COMPUTED_VALUE"""),"old_page")</f>
        <v>old_page</v>
      </c>
      <c r="E1442" s="1">
        <f>IFERROR(__xludf.DUMMYFUNCTION("""COMPUTED_VALUE"""),0.0)</f>
        <v>0</v>
      </c>
    </row>
    <row r="1443">
      <c r="A1443" s="1">
        <f>IFERROR(__xludf.DUMMYFUNCTION("""COMPUTED_VALUE"""),763023.0)</f>
        <v>763023</v>
      </c>
      <c r="B1443" s="2">
        <f>IFERROR(__xludf.DUMMYFUNCTION("""COMPUTED_VALUE"""),42742.64383735354)</f>
        <v>42742.64384</v>
      </c>
      <c r="C1443" s="1" t="str">
        <f>IFERROR(__xludf.DUMMYFUNCTION("""COMPUTED_VALUE"""),"treatment")</f>
        <v>treatment</v>
      </c>
      <c r="D1443" s="1" t="str">
        <f>IFERROR(__xludf.DUMMYFUNCTION("""COMPUTED_VALUE"""),"new_page")</f>
        <v>new_page</v>
      </c>
      <c r="E1443" s="1">
        <f>IFERROR(__xludf.DUMMYFUNCTION("""COMPUTED_VALUE"""),0.0)</f>
        <v>0</v>
      </c>
    </row>
    <row r="1444">
      <c r="A1444" s="1">
        <f>IFERROR(__xludf.DUMMYFUNCTION("""COMPUTED_VALUE"""),792588.0)</f>
        <v>792588</v>
      </c>
      <c r="B1444" s="2">
        <f>IFERROR(__xludf.DUMMYFUNCTION("""COMPUTED_VALUE"""),42751.60941398693)</f>
        <v>42751.60941</v>
      </c>
      <c r="C1444" s="1" t="str">
        <f>IFERROR(__xludf.DUMMYFUNCTION("""COMPUTED_VALUE"""),"treatment")</f>
        <v>treatment</v>
      </c>
      <c r="D1444" s="1" t="str">
        <f>IFERROR(__xludf.DUMMYFUNCTION("""COMPUTED_VALUE"""),"new_page")</f>
        <v>new_page</v>
      </c>
      <c r="E1444" s="1">
        <f>IFERROR(__xludf.DUMMYFUNCTION("""COMPUTED_VALUE"""),0.0)</f>
        <v>0</v>
      </c>
    </row>
    <row r="1445">
      <c r="A1445" s="1">
        <f>IFERROR(__xludf.DUMMYFUNCTION("""COMPUTED_VALUE"""),919777.0)</f>
        <v>919777</v>
      </c>
      <c r="B1445" s="2">
        <f>IFERROR(__xludf.DUMMYFUNCTION("""COMPUTED_VALUE"""),42748.662664966236)</f>
        <v>42748.66266</v>
      </c>
      <c r="C1445" s="1" t="str">
        <f>IFERROR(__xludf.DUMMYFUNCTION("""COMPUTED_VALUE"""),"treatment")</f>
        <v>treatment</v>
      </c>
      <c r="D1445" s="1" t="str">
        <f>IFERROR(__xludf.DUMMYFUNCTION("""COMPUTED_VALUE"""),"new_page")</f>
        <v>new_page</v>
      </c>
      <c r="E1445" s="1">
        <f>IFERROR(__xludf.DUMMYFUNCTION("""COMPUTED_VALUE"""),0.0)</f>
        <v>0</v>
      </c>
    </row>
    <row r="1446">
      <c r="A1446" s="1">
        <f>IFERROR(__xludf.DUMMYFUNCTION("""COMPUTED_VALUE"""),917397.0)</f>
        <v>917397</v>
      </c>
      <c r="B1446" s="2">
        <f>IFERROR(__xludf.DUMMYFUNCTION("""COMPUTED_VALUE"""),42749.72166583236)</f>
        <v>42749.72167</v>
      </c>
      <c r="C1446" s="1" t="str">
        <f>IFERROR(__xludf.DUMMYFUNCTION("""COMPUTED_VALUE"""),"treatment")</f>
        <v>treatment</v>
      </c>
      <c r="D1446" s="1" t="str">
        <f>IFERROR(__xludf.DUMMYFUNCTION("""COMPUTED_VALUE"""),"new_page")</f>
        <v>new_page</v>
      </c>
      <c r="E1446" s="1">
        <f>IFERROR(__xludf.DUMMYFUNCTION("""COMPUTED_VALUE"""),0.0)</f>
        <v>0</v>
      </c>
    </row>
    <row r="1447">
      <c r="A1447" s="1">
        <f>IFERROR(__xludf.DUMMYFUNCTION("""COMPUTED_VALUE"""),831261.0)</f>
        <v>831261</v>
      </c>
      <c r="B1447" s="2">
        <f>IFERROR(__xludf.DUMMYFUNCTION("""COMPUTED_VALUE"""),42739.21639690516)</f>
        <v>42739.2164</v>
      </c>
      <c r="C1447" s="1" t="str">
        <f>IFERROR(__xludf.DUMMYFUNCTION("""COMPUTED_VALUE"""),"control")</f>
        <v>control</v>
      </c>
      <c r="D1447" s="1" t="str">
        <f>IFERROR(__xludf.DUMMYFUNCTION("""COMPUTED_VALUE"""),"old_page")</f>
        <v>old_page</v>
      </c>
      <c r="E1447" s="1">
        <f>IFERROR(__xludf.DUMMYFUNCTION("""COMPUTED_VALUE"""),0.0)</f>
        <v>0</v>
      </c>
    </row>
    <row r="1448">
      <c r="A1448" s="1">
        <f>IFERROR(__xludf.DUMMYFUNCTION("""COMPUTED_VALUE"""),885953.0)</f>
        <v>885953</v>
      </c>
      <c r="B1448" s="2">
        <f>IFERROR(__xludf.DUMMYFUNCTION("""COMPUTED_VALUE"""),42758.131182771525)</f>
        <v>42758.13118</v>
      </c>
      <c r="C1448" s="1" t="str">
        <f>IFERROR(__xludf.DUMMYFUNCTION("""COMPUTED_VALUE"""),"control")</f>
        <v>control</v>
      </c>
      <c r="D1448" s="1" t="str">
        <f>IFERROR(__xludf.DUMMYFUNCTION("""COMPUTED_VALUE"""),"old_page")</f>
        <v>old_page</v>
      </c>
      <c r="E1448" s="1">
        <f>IFERROR(__xludf.DUMMYFUNCTION("""COMPUTED_VALUE"""),0.0)</f>
        <v>0</v>
      </c>
    </row>
    <row r="1449">
      <c r="A1449" s="1">
        <f>IFERROR(__xludf.DUMMYFUNCTION("""COMPUTED_VALUE"""),655236.0)</f>
        <v>655236</v>
      </c>
      <c r="B1449" s="2">
        <f>IFERROR(__xludf.DUMMYFUNCTION("""COMPUTED_VALUE"""),42754.38694951281)</f>
        <v>42754.38695</v>
      </c>
      <c r="C1449" s="1" t="str">
        <f>IFERROR(__xludf.DUMMYFUNCTION("""COMPUTED_VALUE"""),"control")</f>
        <v>control</v>
      </c>
      <c r="D1449" s="1" t="str">
        <f>IFERROR(__xludf.DUMMYFUNCTION("""COMPUTED_VALUE"""),"old_page")</f>
        <v>old_page</v>
      </c>
      <c r="E1449" s="1">
        <f>IFERROR(__xludf.DUMMYFUNCTION("""COMPUTED_VALUE"""),0.0)</f>
        <v>0</v>
      </c>
    </row>
    <row r="1450">
      <c r="A1450" s="1">
        <f>IFERROR(__xludf.DUMMYFUNCTION("""COMPUTED_VALUE"""),653229.0)</f>
        <v>653229</v>
      </c>
      <c r="B1450" s="2">
        <f>IFERROR(__xludf.DUMMYFUNCTION("""COMPUTED_VALUE"""),42737.65236290647)</f>
        <v>42737.65236</v>
      </c>
      <c r="C1450" s="1" t="str">
        <f>IFERROR(__xludf.DUMMYFUNCTION("""COMPUTED_VALUE"""),"treatment")</f>
        <v>treatment</v>
      </c>
      <c r="D1450" s="1" t="str">
        <f>IFERROR(__xludf.DUMMYFUNCTION("""COMPUTED_VALUE"""),"new_page")</f>
        <v>new_page</v>
      </c>
      <c r="E1450" s="1">
        <f>IFERROR(__xludf.DUMMYFUNCTION("""COMPUTED_VALUE"""),0.0)</f>
        <v>0</v>
      </c>
    </row>
    <row r="1451">
      <c r="A1451" s="1">
        <f>IFERROR(__xludf.DUMMYFUNCTION("""COMPUTED_VALUE"""),905065.0)</f>
        <v>905065</v>
      </c>
      <c r="B1451" s="2">
        <f>IFERROR(__xludf.DUMMYFUNCTION("""COMPUTED_VALUE"""),42746.424816466875)</f>
        <v>42746.42482</v>
      </c>
      <c r="C1451" s="1" t="str">
        <f>IFERROR(__xludf.DUMMYFUNCTION("""COMPUTED_VALUE"""),"treatment")</f>
        <v>treatment</v>
      </c>
      <c r="D1451" s="1" t="str">
        <f>IFERROR(__xludf.DUMMYFUNCTION("""COMPUTED_VALUE"""),"new_page")</f>
        <v>new_page</v>
      </c>
      <c r="E1451" s="1">
        <f>IFERROR(__xludf.DUMMYFUNCTION("""COMPUTED_VALUE"""),0.0)</f>
        <v>0</v>
      </c>
    </row>
    <row r="1452">
      <c r="A1452" s="1">
        <f>IFERROR(__xludf.DUMMYFUNCTION("""COMPUTED_VALUE"""),779860.0)</f>
        <v>779860</v>
      </c>
      <c r="B1452" s="2">
        <f>IFERROR(__xludf.DUMMYFUNCTION("""COMPUTED_VALUE"""),42749.534641394835)</f>
        <v>42749.53464</v>
      </c>
      <c r="C1452" s="1" t="str">
        <f>IFERROR(__xludf.DUMMYFUNCTION("""COMPUTED_VALUE"""),"control")</f>
        <v>control</v>
      </c>
      <c r="D1452" s="1" t="str">
        <f>IFERROR(__xludf.DUMMYFUNCTION("""COMPUTED_VALUE"""),"old_page")</f>
        <v>old_page</v>
      </c>
      <c r="E1452" s="1">
        <f>IFERROR(__xludf.DUMMYFUNCTION("""COMPUTED_VALUE"""),0.0)</f>
        <v>0</v>
      </c>
    </row>
    <row r="1453">
      <c r="A1453" s="1">
        <f>IFERROR(__xludf.DUMMYFUNCTION("""COMPUTED_VALUE"""),687330.0)</f>
        <v>687330</v>
      </c>
      <c r="B1453" s="2">
        <f>IFERROR(__xludf.DUMMYFUNCTION("""COMPUTED_VALUE"""),42748.618236407005)</f>
        <v>42748.61824</v>
      </c>
      <c r="C1453" s="1" t="str">
        <f>IFERROR(__xludf.DUMMYFUNCTION("""COMPUTED_VALUE"""),"control")</f>
        <v>control</v>
      </c>
      <c r="D1453" s="1" t="str">
        <f>IFERROR(__xludf.DUMMYFUNCTION("""COMPUTED_VALUE"""),"old_page")</f>
        <v>old_page</v>
      </c>
      <c r="E1453" s="1">
        <f>IFERROR(__xludf.DUMMYFUNCTION("""COMPUTED_VALUE"""),0.0)</f>
        <v>0</v>
      </c>
    </row>
    <row r="1454">
      <c r="A1454" s="1">
        <f>IFERROR(__xludf.DUMMYFUNCTION("""COMPUTED_VALUE"""),696228.0)</f>
        <v>696228</v>
      </c>
      <c r="B1454" s="2">
        <f>IFERROR(__xludf.DUMMYFUNCTION("""COMPUTED_VALUE"""),42738.273324667214)</f>
        <v>42738.27332</v>
      </c>
      <c r="C1454" s="1" t="str">
        <f>IFERROR(__xludf.DUMMYFUNCTION("""COMPUTED_VALUE"""),"treatment")</f>
        <v>treatment</v>
      </c>
      <c r="D1454" s="1" t="str">
        <f>IFERROR(__xludf.DUMMYFUNCTION("""COMPUTED_VALUE"""),"new_page")</f>
        <v>new_page</v>
      </c>
      <c r="E1454" s="1">
        <f>IFERROR(__xludf.DUMMYFUNCTION("""COMPUTED_VALUE"""),0.0)</f>
        <v>0</v>
      </c>
    </row>
    <row r="1455">
      <c r="A1455" s="1">
        <f>IFERROR(__xludf.DUMMYFUNCTION("""COMPUTED_VALUE"""),785923.0)</f>
        <v>785923</v>
      </c>
      <c r="B1455" s="2">
        <f>IFERROR(__xludf.DUMMYFUNCTION("""COMPUTED_VALUE"""),42741.88323432425)</f>
        <v>42741.88323</v>
      </c>
      <c r="C1455" s="1" t="str">
        <f>IFERROR(__xludf.DUMMYFUNCTION("""COMPUTED_VALUE"""),"treatment")</f>
        <v>treatment</v>
      </c>
      <c r="D1455" s="1" t="str">
        <f>IFERROR(__xludf.DUMMYFUNCTION("""COMPUTED_VALUE"""),"new_page")</f>
        <v>new_page</v>
      </c>
      <c r="E1455" s="1">
        <f>IFERROR(__xludf.DUMMYFUNCTION("""COMPUTED_VALUE"""),1.0)</f>
        <v>1</v>
      </c>
    </row>
    <row r="1456">
      <c r="A1456" s="1">
        <f>IFERROR(__xludf.DUMMYFUNCTION("""COMPUTED_VALUE"""),682130.0)</f>
        <v>682130</v>
      </c>
      <c r="B1456" s="2">
        <f>IFERROR(__xludf.DUMMYFUNCTION("""COMPUTED_VALUE"""),42750.513221747584)</f>
        <v>42750.51322</v>
      </c>
      <c r="C1456" s="1" t="str">
        <f>IFERROR(__xludf.DUMMYFUNCTION("""COMPUTED_VALUE"""),"control")</f>
        <v>control</v>
      </c>
      <c r="D1456" s="1" t="str">
        <f>IFERROR(__xludf.DUMMYFUNCTION("""COMPUTED_VALUE"""),"old_page")</f>
        <v>old_page</v>
      </c>
      <c r="E1456" s="1">
        <f>IFERROR(__xludf.DUMMYFUNCTION("""COMPUTED_VALUE"""),1.0)</f>
        <v>1</v>
      </c>
    </row>
    <row r="1457">
      <c r="A1457" s="1">
        <f>IFERROR(__xludf.DUMMYFUNCTION("""COMPUTED_VALUE"""),801763.0)</f>
        <v>801763</v>
      </c>
      <c r="B1457" s="2">
        <f>IFERROR(__xludf.DUMMYFUNCTION("""COMPUTED_VALUE"""),42747.86354399866)</f>
        <v>42747.86354</v>
      </c>
      <c r="C1457" s="1" t="str">
        <f>IFERROR(__xludf.DUMMYFUNCTION("""COMPUTED_VALUE"""),"control")</f>
        <v>control</v>
      </c>
      <c r="D1457" s="1" t="str">
        <f>IFERROR(__xludf.DUMMYFUNCTION("""COMPUTED_VALUE"""),"old_page")</f>
        <v>old_page</v>
      </c>
      <c r="E1457" s="1">
        <f>IFERROR(__xludf.DUMMYFUNCTION("""COMPUTED_VALUE"""),1.0)</f>
        <v>1</v>
      </c>
    </row>
    <row r="1458">
      <c r="A1458" s="1">
        <f>IFERROR(__xludf.DUMMYFUNCTION("""COMPUTED_VALUE"""),779533.0)</f>
        <v>779533</v>
      </c>
      <c r="B1458" s="2">
        <f>IFERROR(__xludf.DUMMYFUNCTION("""COMPUTED_VALUE"""),42750.33797066586)</f>
        <v>42750.33797</v>
      </c>
      <c r="C1458" s="1" t="str">
        <f>IFERROR(__xludf.DUMMYFUNCTION("""COMPUTED_VALUE"""),"control")</f>
        <v>control</v>
      </c>
      <c r="D1458" s="1" t="str">
        <f>IFERROR(__xludf.DUMMYFUNCTION("""COMPUTED_VALUE"""),"old_page")</f>
        <v>old_page</v>
      </c>
      <c r="E1458" s="1">
        <f>IFERROR(__xludf.DUMMYFUNCTION("""COMPUTED_VALUE"""),0.0)</f>
        <v>0</v>
      </c>
    </row>
    <row r="1459">
      <c r="A1459" s="1">
        <f>IFERROR(__xludf.DUMMYFUNCTION("""COMPUTED_VALUE"""),780686.0)</f>
        <v>780686</v>
      </c>
      <c r="B1459" s="2">
        <f>IFERROR(__xludf.DUMMYFUNCTION("""COMPUTED_VALUE"""),42748.897195362464)</f>
        <v>42748.8972</v>
      </c>
      <c r="C1459" s="1" t="str">
        <f>IFERROR(__xludf.DUMMYFUNCTION("""COMPUTED_VALUE"""),"control")</f>
        <v>control</v>
      </c>
      <c r="D1459" s="1" t="str">
        <f>IFERROR(__xludf.DUMMYFUNCTION("""COMPUTED_VALUE"""),"old_page")</f>
        <v>old_page</v>
      </c>
      <c r="E1459" s="1">
        <f>IFERROR(__xludf.DUMMYFUNCTION("""COMPUTED_VALUE"""),0.0)</f>
        <v>0</v>
      </c>
    </row>
    <row r="1460">
      <c r="A1460" s="1">
        <f>IFERROR(__xludf.DUMMYFUNCTION("""COMPUTED_VALUE"""),780666.0)</f>
        <v>780666</v>
      </c>
      <c r="B1460" s="2">
        <f>IFERROR(__xludf.DUMMYFUNCTION("""COMPUTED_VALUE"""),42744.68416163392)</f>
        <v>42744.68416</v>
      </c>
      <c r="C1460" s="1" t="str">
        <f>IFERROR(__xludf.DUMMYFUNCTION("""COMPUTED_VALUE"""),"treatment")</f>
        <v>treatment</v>
      </c>
      <c r="D1460" s="1" t="str">
        <f>IFERROR(__xludf.DUMMYFUNCTION("""COMPUTED_VALUE"""),"new_page")</f>
        <v>new_page</v>
      </c>
      <c r="E1460" s="1">
        <f>IFERROR(__xludf.DUMMYFUNCTION("""COMPUTED_VALUE"""),0.0)</f>
        <v>0</v>
      </c>
    </row>
    <row r="1461">
      <c r="A1461" s="1">
        <f>IFERROR(__xludf.DUMMYFUNCTION("""COMPUTED_VALUE"""),832243.0)</f>
        <v>832243</v>
      </c>
      <c r="B1461" s="2">
        <f>IFERROR(__xludf.DUMMYFUNCTION("""COMPUTED_VALUE"""),42745.07071864567)</f>
        <v>42745.07072</v>
      </c>
      <c r="C1461" s="1" t="str">
        <f>IFERROR(__xludf.DUMMYFUNCTION("""COMPUTED_VALUE"""),"treatment")</f>
        <v>treatment</v>
      </c>
      <c r="D1461" s="1" t="str">
        <f>IFERROR(__xludf.DUMMYFUNCTION("""COMPUTED_VALUE"""),"new_page")</f>
        <v>new_page</v>
      </c>
      <c r="E1461" s="1">
        <f>IFERROR(__xludf.DUMMYFUNCTION("""COMPUTED_VALUE"""),0.0)</f>
        <v>0</v>
      </c>
    </row>
    <row r="1462">
      <c r="A1462" s="1">
        <f>IFERROR(__xludf.DUMMYFUNCTION("""COMPUTED_VALUE"""),701840.0)</f>
        <v>701840</v>
      </c>
      <c r="B1462" s="2">
        <f>IFERROR(__xludf.DUMMYFUNCTION("""COMPUTED_VALUE"""),42737.99866325264)</f>
        <v>42737.99866</v>
      </c>
      <c r="C1462" s="1" t="str">
        <f>IFERROR(__xludf.DUMMYFUNCTION("""COMPUTED_VALUE"""),"control")</f>
        <v>control</v>
      </c>
      <c r="D1462" s="1" t="str">
        <f>IFERROR(__xludf.DUMMYFUNCTION("""COMPUTED_VALUE"""),"old_page")</f>
        <v>old_page</v>
      </c>
      <c r="E1462" s="1">
        <f>IFERROR(__xludf.DUMMYFUNCTION("""COMPUTED_VALUE"""),0.0)</f>
        <v>0</v>
      </c>
    </row>
    <row r="1463">
      <c r="A1463" s="1">
        <f>IFERROR(__xludf.DUMMYFUNCTION("""COMPUTED_VALUE"""),880906.0)</f>
        <v>880906</v>
      </c>
      <c r="B1463" s="2">
        <f>IFERROR(__xludf.DUMMYFUNCTION("""COMPUTED_VALUE"""),42752.90914633728)</f>
        <v>42752.90915</v>
      </c>
      <c r="C1463" s="1" t="str">
        <f>IFERROR(__xludf.DUMMYFUNCTION("""COMPUTED_VALUE"""),"control")</f>
        <v>control</v>
      </c>
      <c r="D1463" s="1" t="str">
        <f>IFERROR(__xludf.DUMMYFUNCTION("""COMPUTED_VALUE"""),"old_page")</f>
        <v>old_page</v>
      </c>
      <c r="E1463" s="1">
        <f>IFERROR(__xludf.DUMMYFUNCTION("""COMPUTED_VALUE"""),0.0)</f>
        <v>0</v>
      </c>
    </row>
    <row r="1464">
      <c r="A1464" s="1">
        <f>IFERROR(__xludf.DUMMYFUNCTION("""COMPUTED_VALUE"""),714227.0)</f>
        <v>714227</v>
      </c>
      <c r="B1464" s="2">
        <f>IFERROR(__xludf.DUMMYFUNCTION("""COMPUTED_VALUE"""),42753.506053409896)</f>
        <v>42753.50605</v>
      </c>
      <c r="C1464" s="1" t="str">
        <f>IFERROR(__xludf.DUMMYFUNCTION("""COMPUTED_VALUE"""),"treatment")</f>
        <v>treatment</v>
      </c>
      <c r="D1464" s="1" t="str">
        <f>IFERROR(__xludf.DUMMYFUNCTION("""COMPUTED_VALUE"""),"new_page")</f>
        <v>new_page</v>
      </c>
      <c r="E1464" s="1">
        <f>IFERROR(__xludf.DUMMYFUNCTION("""COMPUTED_VALUE"""),0.0)</f>
        <v>0</v>
      </c>
    </row>
    <row r="1465">
      <c r="A1465" s="1">
        <f>IFERROR(__xludf.DUMMYFUNCTION("""COMPUTED_VALUE"""),918668.0)</f>
        <v>918668</v>
      </c>
      <c r="B1465" s="2">
        <f>IFERROR(__xludf.DUMMYFUNCTION("""COMPUTED_VALUE"""),42756.6458452185)</f>
        <v>42756.64585</v>
      </c>
      <c r="C1465" s="1" t="str">
        <f>IFERROR(__xludf.DUMMYFUNCTION("""COMPUTED_VALUE"""),"treatment")</f>
        <v>treatment</v>
      </c>
      <c r="D1465" s="1" t="str">
        <f>IFERROR(__xludf.DUMMYFUNCTION("""COMPUTED_VALUE"""),"new_page")</f>
        <v>new_page</v>
      </c>
      <c r="E1465" s="1">
        <f>IFERROR(__xludf.DUMMYFUNCTION("""COMPUTED_VALUE"""),0.0)</f>
        <v>0</v>
      </c>
    </row>
    <row r="1466">
      <c r="A1466" s="1">
        <f>IFERROR(__xludf.DUMMYFUNCTION("""COMPUTED_VALUE"""),784249.0)</f>
        <v>784249</v>
      </c>
      <c r="B1466" s="2">
        <f>IFERROR(__xludf.DUMMYFUNCTION("""COMPUTED_VALUE"""),42751.52587433607)</f>
        <v>42751.52587</v>
      </c>
      <c r="C1466" s="1" t="str">
        <f>IFERROR(__xludf.DUMMYFUNCTION("""COMPUTED_VALUE"""),"control")</f>
        <v>control</v>
      </c>
      <c r="D1466" s="1" t="str">
        <f>IFERROR(__xludf.DUMMYFUNCTION("""COMPUTED_VALUE"""),"old_page")</f>
        <v>old_page</v>
      </c>
      <c r="E1466" s="1">
        <f>IFERROR(__xludf.DUMMYFUNCTION("""COMPUTED_VALUE"""),0.0)</f>
        <v>0</v>
      </c>
    </row>
    <row r="1467">
      <c r="A1467" s="1">
        <f>IFERROR(__xludf.DUMMYFUNCTION("""COMPUTED_VALUE"""),647610.0)</f>
        <v>647610</v>
      </c>
      <c r="B1467" s="2">
        <f>IFERROR(__xludf.DUMMYFUNCTION("""COMPUTED_VALUE"""),42755.38137965481)</f>
        <v>42755.38138</v>
      </c>
      <c r="C1467" s="1" t="str">
        <f>IFERROR(__xludf.DUMMYFUNCTION("""COMPUTED_VALUE"""),"treatment")</f>
        <v>treatment</v>
      </c>
      <c r="D1467" s="1" t="str">
        <f>IFERROR(__xludf.DUMMYFUNCTION("""COMPUTED_VALUE"""),"new_page")</f>
        <v>new_page</v>
      </c>
      <c r="E1467" s="1">
        <f>IFERROR(__xludf.DUMMYFUNCTION("""COMPUTED_VALUE"""),1.0)</f>
        <v>1</v>
      </c>
    </row>
    <row r="1468">
      <c r="A1468" s="1">
        <f>IFERROR(__xludf.DUMMYFUNCTION("""COMPUTED_VALUE"""),868684.0)</f>
        <v>868684</v>
      </c>
      <c r="B1468" s="2">
        <f>IFERROR(__xludf.DUMMYFUNCTION("""COMPUTED_VALUE"""),42747.433975176165)</f>
        <v>42747.43398</v>
      </c>
      <c r="C1468" s="1" t="str">
        <f>IFERROR(__xludf.DUMMYFUNCTION("""COMPUTED_VALUE"""),"control")</f>
        <v>control</v>
      </c>
      <c r="D1468" s="1" t="str">
        <f>IFERROR(__xludf.DUMMYFUNCTION("""COMPUTED_VALUE"""),"old_page")</f>
        <v>old_page</v>
      </c>
      <c r="E1468" s="1">
        <f>IFERROR(__xludf.DUMMYFUNCTION("""COMPUTED_VALUE"""),0.0)</f>
        <v>0</v>
      </c>
    </row>
    <row r="1469">
      <c r="A1469" s="1">
        <f>IFERROR(__xludf.DUMMYFUNCTION("""COMPUTED_VALUE"""),777616.0)</f>
        <v>777616</v>
      </c>
      <c r="B1469" s="2">
        <f>IFERROR(__xludf.DUMMYFUNCTION("""COMPUTED_VALUE"""),42740.647290592584)</f>
        <v>42740.64729</v>
      </c>
      <c r="C1469" s="1" t="str">
        <f>IFERROR(__xludf.DUMMYFUNCTION("""COMPUTED_VALUE"""),"treatment")</f>
        <v>treatment</v>
      </c>
      <c r="D1469" s="1" t="str">
        <f>IFERROR(__xludf.DUMMYFUNCTION("""COMPUTED_VALUE"""),"new_page")</f>
        <v>new_page</v>
      </c>
      <c r="E1469" s="1">
        <f>IFERROR(__xludf.DUMMYFUNCTION("""COMPUTED_VALUE"""),0.0)</f>
        <v>0</v>
      </c>
    </row>
    <row r="1470">
      <c r="A1470" s="1">
        <f>IFERROR(__xludf.DUMMYFUNCTION("""COMPUTED_VALUE"""),636767.0)</f>
        <v>636767</v>
      </c>
      <c r="B1470" s="2">
        <f>IFERROR(__xludf.DUMMYFUNCTION("""COMPUTED_VALUE"""),42746.59186474795)</f>
        <v>42746.59186</v>
      </c>
      <c r="C1470" s="1" t="str">
        <f>IFERROR(__xludf.DUMMYFUNCTION("""COMPUTED_VALUE"""),"treatment")</f>
        <v>treatment</v>
      </c>
      <c r="D1470" s="1" t="str">
        <f>IFERROR(__xludf.DUMMYFUNCTION("""COMPUTED_VALUE"""),"new_page")</f>
        <v>new_page</v>
      </c>
      <c r="E1470" s="1">
        <f>IFERROR(__xludf.DUMMYFUNCTION("""COMPUTED_VALUE"""),0.0)</f>
        <v>0</v>
      </c>
    </row>
    <row r="1471">
      <c r="A1471" s="1">
        <f>IFERROR(__xludf.DUMMYFUNCTION("""COMPUTED_VALUE"""),647642.0)</f>
        <v>647642</v>
      </c>
      <c r="B1471" s="2">
        <f>IFERROR(__xludf.DUMMYFUNCTION("""COMPUTED_VALUE"""),42754.448561648845)</f>
        <v>42754.44856</v>
      </c>
      <c r="C1471" s="1" t="str">
        <f>IFERROR(__xludf.DUMMYFUNCTION("""COMPUTED_VALUE"""),"control")</f>
        <v>control</v>
      </c>
      <c r="D1471" s="1" t="str">
        <f>IFERROR(__xludf.DUMMYFUNCTION("""COMPUTED_VALUE"""),"old_page")</f>
        <v>old_page</v>
      </c>
      <c r="E1471" s="1">
        <f>IFERROR(__xludf.DUMMYFUNCTION("""COMPUTED_VALUE"""),1.0)</f>
        <v>1</v>
      </c>
    </row>
    <row r="1472">
      <c r="A1472" s="1">
        <f>IFERROR(__xludf.DUMMYFUNCTION("""COMPUTED_VALUE"""),807016.0)</f>
        <v>807016</v>
      </c>
      <c r="B1472" s="2">
        <f>IFERROR(__xludf.DUMMYFUNCTION("""COMPUTED_VALUE"""),42745.291330486354)</f>
        <v>42745.29133</v>
      </c>
      <c r="C1472" s="1" t="str">
        <f>IFERROR(__xludf.DUMMYFUNCTION("""COMPUTED_VALUE"""),"control")</f>
        <v>control</v>
      </c>
      <c r="D1472" s="1" t="str">
        <f>IFERROR(__xludf.DUMMYFUNCTION("""COMPUTED_VALUE"""),"old_page")</f>
        <v>old_page</v>
      </c>
      <c r="E1472" s="1">
        <f>IFERROR(__xludf.DUMMYFUNCTION("""COMPUTED_VALUE"""),1.0)</f>
        <v>1</v>
      </c>
    </row>
    <row r="1473">
      <c r="A1473" s="1">
        <f>IFERROR(__xludf.DUMMYFUNCTION("""COMPUTED_VALUE"""),929922.0)</f>
        <v>929922</v>
      </c>
      <c r="B1473" s="2">
        <f>IFERROR(__xludf.DUMMYFUNCTION("""COMPUTED_VALUE"""),42742.755071590895)</f>
        <v>42742.75507</v>
      </c>
      <c r="C1473" s="1" t="str">
        <f>IFERROR(__xludf.DUMMYFUNCTION("""COMPUTED_VALUE"""),"treatment")</f>
        <v>treatment</v>
      </c>
      <c r="D1473" s="1" t="str">
        <f>IFERROR(__xludf.DUMMYFUNCTION("""COMPUTED_VALUE"""),"new_page")</f>
        <v>new_page</v>
      </c>
      <c r="E1473" s="1">
        <f>IFERROR(__xludf.DUMMYFUNCTION("""COMPUTED_VALUE"""),0.0)</f>
        <v>0</v>
      </c>
    </row>
    <row r="1474">
      <c r="A1474" s="1">
        <f>IFERROR(__xludf.DUMMYFUNCTION("""COMPUTED_VALUE"""),658742.0)</f>
        <v>658742</v>
      </c>
      <c r="B1474" s="2">
        <f>IFERROR(__xludf.DUMMYFUNCTION("""COMPUTED_VALUE"""),42747.67372745362)</f>
        <v>42747.67373</v>
      </c>
      <c r="C1474" s="1" t="str">
        <f>IFERROR(__xludf.DUMMYFUNCTION("""COMPUTED_VALUE"""),"treatment")</f>
        <v>treatment</v>
      </c>
      <c r="D1474" s="1" t="str">
        <f>IFERROR(__xludf.DUMMYFUNCTION("""COMPUTED_VALUE"""),"new_page")</f>
        <v>new_page</v>
      </c>
      <c r="E1474" s="1">
        <f>IFERROR(__xludf.DUMMYFUNCTION("""COMPUTED_VALUE"""),0.0)</f>
        <v>0</v>
      </c>
    </row>
    <row r="1475">
      <c r="A1475" s="1">
        <f>IFERROR(__xludf.DUMMYFUNCTION("""COMPUTED_VALUE"""),891627.0)</f>
        <v>891627</v>
      </c>
      <c r="B1475" s="2">
        <f>IFERROR(__xludf.DUMMYFUNCTION("""COMPUTED_VALUE"""),42758.71084572948)</f>
        <v>42758.71085</v>
      </c>
      <c r="C1475" s="1" t="str">
        <f>IFERROR(__xludf.DUMMYFUNCTION("""COMPUTED_VALUE"""),"treatment")</f>
        <v>treatment</v>
      </c>
      <c r="D1475" s="1" t="str">
        <f>IFERROR(__xludf.DUMMYFUNCTION("""COMPUTED_VALUE"""),"new_page")</f>
        <v>new_page</v>
      </c>
      <c r="E1475" s="1">
        <f>IFERROR(__xludf.DUMMYFUNCTION("""COMPUTED_VALUE"""),0.0)</f>
        <v>0</v>
      </c>
    </row>
    <row r="1476">
      <c r="A1476" s="1">
        <f>IFERROR(__xludf.DUMMYFUNCTION("""COMPUTED_VALUE"""),678638.0)</f>
        <v>678638</v>
      </c>
      <c r="B1476" s="2">
        <f>IFERROR(__xludf.DUMMYFUNCTION("""COMPUTED_VALUE"""),42753.27549207633)</f>
        <v>42753.27549</v>
      </c>
      <c r="C1476" s="1" t="str">
        <f>IFERROR(__xludf.DUMMYFUNCTION("""COMPUTED_VALUE"""),"control")</f>
        <v>control</v>
      </c>
      <c r="D1476" s="1" t="str">
        <f>IFERROR(__xludf.DUMMYFUNCTION("""COMPUTED_VALUE"""),"new_page")</f>
        <v>new_page</v>
      </c>
      <c r="E1476" s="1">
        <f>IFERROR(__xludf.DUMMYFUNCTION("""COMPUTED_VALUE"""),0.0)</f>
        <v>0</v>
      </c>
    </row>
    <row r="1477">
      <c r="A1477" s="1">
        <f>IFERROR(__xludf.DUMMYFUNCTION("""COMPUTED_VALUE"""),761980.0)</f>
        <v>761980</v>
      </c>
      <c r="B1477" s="2">
        <f>IFERROR(__xludf.DUMMYFUNCTION("""COMPUTED_VALUE"""),42753.229477785535)</f>
        <v>42753.22948</v>
      </c>
      <c r="C1477" s="1" t="str">
        <f>IFERROR(__xludf.DUMMYFUNCTION("""COMPUTED_VALUE"""),"treatment")</f>
        <v>treatment</v>
      </c>
      <c r="D1477" s="1" t="str">
        <f>IFERROR(__xludf.DUMMYFUNCTION("""COMPUTED_VALUE"""),"new_page")</f>
        <v>new_page</v>
      </c>
      <c r="E1477" s="1">
        <f>IFERROR(__xludf.DUMMYFUNCTION("""COMPUTED_VALUE"""),0.0)</f>
        <v>0</v>
      </c>
    </row>
    <row r="1478">
      <c r="A1478" s="1">
        <f>IFERROR(__xludf.DUMMYFUNCTION("""COMPUTED_VALUE"""),852225.0)</f>
        <v>852225</v>
      </c>
      <c r="B1478" s="2">
        <f>IFERROR(__xludf.DUMMYFUNCTION("""COMPUTED_VALUE"""),42756.800757752084)</f>
        <v>42756.80076</v>
      </c>
      <c r="C1478" s="1" t="str">
        <f>IFERROR(__xludf.DUMMYFUNCTION("""COMPUTED_VALUE"""),"control")</f>
        <v>control</v>
      </c>
      <c r="D1478" s="1" t="str">
        <f>IFERROR(__xludf.DUMMYFUNCTION("""COMPUTED_VALUE"""),"old_page")</f>
        <v>old_page</v>
      </c>
      <c r="E1478" s="1">
        <f>IFERROR(__xludf.DUMMYFUNCTION("""COMPUTED_VALUE"""),0.0)</f>
        <v>0</v>
      </c>
    </row>
    <row r="1479">
      <c r="A1479" s="1">
        <f>IFERROR(__xludf.DUMMYFUNCTION("""COMPUTED_VALUE"""),697015.0)</f>
        <v>697015</v>
      </c>
      <c r="B1479" s="2">
        <f>IFERROR(__xludf.DUMMYFUNCTION("""COMPUTED_VALUE"""),42755.64257991132)</f>
        <v>42755.64258</v>
      </c>
      <c r="C1479" s="1" t="str">
        <f>IFERROR(__xludf.DUMMYFUNCTION("""COMPUTED_VALUE"""),"control")</f>
        <v>control</v>
      </c>
      <c r="D1479" s="1" t="str">
        <f>IFERROR(__xludf.DUMMYFUNCTION("""COMPUTED_VALUE"""),"old_page")</f>
        <v>old_page</v>
      </c>
      <c r="E1479" s="1">
        <f>IFERROR(__xludf.DUMMYFUNCTION("""COMPUTED_VALUE"""),0.0)</f>
        <v>0</v>
      </c>
    </row>
    <row r="1480">
      <c r="A1480" s="1">
        <f>IFERROR(__xludf.DUMMYFUNCTION("""COMPUTED_VALUE"""),917140.0)</f>
        <v>917140</v>
      </c>
      <c r="B1480" s="2">
        <f>IFERROR(__xludf.DUMMYFUNCTION("""COMPUTED_VALUE"""),42747.55826334023)</f>
        <v>42747.55826</v>
      </c>
      <c r="C1480" s="1" t="str">
        <f>IFERROR(__xludf.DUMMYFUNCTION("""COMPUTED_VALUE"""),"treatment")</f>
        <v>treatment</v>
      </c>
      <c r="D1480" s="1" t="str">
        <f>IFERROR(__xludf.DUMMYFUNCTION("""COMPUTED_VALUE"""),"new_page")</f>
        <v>new_page</v>
      </c>
      <c r="E1480" s="1">
        <f>IFERROR(__xludf.DUMMYFUNCTION("""COMPUTED_VALUE"""),0.0)</f>
        <v>0</v>
      </c>
    </row>
    <row r="1481">
      <c r="A1481" s="1">
        <f>IFERROR(__xludf.DUMMYFUNCTION("""COMPUTED_VALUE"""),761154.0)</f>
        <v>761154</v>
      </c>
      <c r="B1481" s="2">
        <f>IFERROR(__xludf.DUMMYFUNCTION("""COMPUTED_VALUE"""),42737.6495865225)</f>
        <v>42737.64959</v>
      </c>
      <c r="C1481" s="1" t="str">
        <f>IFERROR(__xludf.DUMMYFUNCTION("""COMPUTED_VALUE"""),"treatment")</f>
        <v>treatment</v>
      </c>
      <c r="D1481" s="1" t="str">
        <f>IFERROR(__xludf.DUMMYFUNCTION("""COMPUTED_VALUE"""),"new_page")</f>
        <v>new_page</v>
      </c>
      <c r="E1481" s="1">
        <f>IFERROR(__xludf.DUMMYFUNCTION("""COMPUTED_VALUE"""),1.0)</f>
        <v>1</v>
      </c>
    </row>
    <row r="1482">
      <c r="A1482" s="1">
        <f>IFERROR(__xludf.DUMMYFUNCTION("""COMPUTED_VALUE"""),717680.0)</f>
        <v>717680</v>
      </c>
      <c r="B1482" s="2">
        <f>IFERROR(__xludf.DUMMYFUNCTION("""COMPUTED_VALUE"""),42749.18602107153)</f>
        <v>42749.18602</v>
      </c>
      <c r="C1482" s="1" t="str">
        <f>IFERROR(__xludf.DUMMYFUNCTION("""COMPUTED_VALUE"""),"treatment")</f>
        <v>treatment</v>
      </c>
      <c r="D1482" s="1" t="str">
        <f>IFERROR(__xludf.DUMMYFUNCTION("""COMPUTED_VALUE"""),"new_page")</f>
        <v>new_page</v>
      </c>
      <c r="E1482" s="1">
        <f>IFERROR(__xludf.DUMMYFUNCTION("""COMPUTED_VALUE"""),0.0)</f>
        <v>0</v>
      </c>
    </row>
    <row r="1483">
      <c r="A1483" s="1">
        <f>IFERROR(__xludf.DUMMYFUNCTION("""COMPUTED_VALUE"""),742559.0)</f>
        <v>742559</v>
      </c>
      <c r="B1483" s="2">
        <f>IFERROR(__xludf.DUMMYFUNCTION("""COMPUTED_VALUE"""),42755.32427907109)</f>
        <v>42755.32428</v>
      </c>
      <c r="C1483" s="1" t="str">
        <f>IFERROR(__xludf.DUMMYFUNCTION("""COMPUTED_VALUE"""),"treatment")</f>
        <v>treatment</v>
      </c>
      <c r="D1483" s="1" t="str">
        <f>IFERROR(__xludf.DUMMYFUNCTION("""COMPUTED_VALUE"""),"new_page")</f>
        <v>new_page</v>
      </c>
      <c r="E1483" s="1">
        <f>IFERROR(__xludf.DUMMYFUNCTION("""COMPUTED_VALUE"""),1.0)</f>
        <v>1</v>
      </c>
    </row>
    <row r="1484">
      <c r="A1484" s="1">
        <f>IFERROR(__xludf.DUMMYFUNCTION("""COMPUTED_VALUE"""),638797.0)</f>
        <v>638797</v>
      </c>
      <c r="B1484" s="2">
        <f>IFERROR(__xludf.DUMMYFUNCTION("""COMPUTED_VALUE"""),42739.02568918391)</f>
        <v>42739.02569</v>
      </c>
      <c r="C1484" s="1" t="str">
        <f>IFERROR(__xludf.DUMMYFUNCTION("""COMPUTED_VALUE"""),"control")</f>
        <v>control</v>
      </c>
      <c r="D1484" s="1" t="str">
        <f>IFERROR(__xludf.DUMMYFUNCTION("""COMPUTED_VALUE"""),"old_page")</f>
        <v>old_page</v>
      </c>
      <c r="E1484" s="1">
        <f>IFERROR(__xludf.DUMMYFUNCTION("""COMPUTED_VALUE"""),1.0)</f>
        <v>1</v>
      </c>
    </row>
    <row r="1485">
      <c r="A1485" s="1">
        <f>IFERROR(__xludf.DUMMYFUNCTION("""COMPUTED_VALUE"""),887894.0)</f>
        <v>887894</v>
      </c>
      <c r="B1485" s="2">
        <f>IFERROR(__xludf.DUMMYFUNCTION("""COMPUTED_VALUE"""),42754.404159034755)</f>
        <v>42754.40416</v>
      </c>
      <c r="C1485" s="1" t="str">
        <f>IFERROR(__xludf.DUMMYFUNCTION("""COMPUTED_VALUE"""),"control")</f>
        <v>control</v>
      </c>
      <c r="D1485" s="1" t="str">
        <f>IFERROR(__xludf.DUMMYFUNCTION("""COMPUTED_VALUE"""),"old_page")</f>
        <v>old_page</v>
      </c>
      <c r="E1485" s="1">
        <f>IFERROR(__xludf.DUMMYFUNCTION("""COMPUTED_VALUE"""),0.0)</f>
        <v>0</v>
      </c>
    </row>
    <row r="1486">
      <c r="A1486" s="1">
        <f>IFERROR(__xludf.DUMMYFUNCTION("""COMPUTED_VALUE"""),730406.0)</f>
        <v>730406</v>
      </c>
      <c r="B1486" s="2">
        <f>IFERROR(__xludf.DUMMYFUNCTION("""COMPUTED_VALUE"""),42739.55660637424)</f>
        <v>42739.55661</v>
      </c>
      <c r="C1486" s="1" t="str">
        <f>IFERROR(__xludf.DUMMYFUNCTION("""COMPUTED_VALUE"""),"control")</f>
        <v>control</v>
      </c>
      <c r="D1486" s="1" t="str">
        <f>IFERROR(__xludf.DUMMYFUNCTION("""COMPUTED_VALUE"""),"old_page")</f>
        <v>old_page</v>
      </c>
      <c r="E1486" s="1">
        <f>IFERROR(__xludf.DUMMYFUNCTION("""COMPUTED_VALUE"""),1.0)</f>
        <v>1</v>
      </c>
    </row>
    <row r="1487">
      <c r="A1487" s="1">
        <f>IFERROR(__xludf.DUMMYFUNCTION("""COMPUTED_VALUE"""),864687.0)</f>
        <v>864687</v>
      </c>
      <c r="B1487" s="2">
        <f>IFERROR(__xludf.DUMMYFUNCTION("""COMPUTED_VALUE"""),42739.30097303107)</f>
        <v>42739.30097</v>
      </c>
      <c r="C1487" s="1" t="str">
        <f>IFERROR(__xludf.DUMMYFUNCTION("""COMPUTED_VALUE"""),"treatment")</f>
        <v>treatment</v>
      </c>
      <c r="D1487" s="1" t="str">
        <f>IFERROR(__xludf.DUMMYFUNCTION("""COMPUTED_VALUE"""),"new_page")</f>
        <v>new_page</v>
      </c>
      <c r="E1487" s="1">
        <f>IFERROR(__xludf.DUMMYFUNCTION("""COMPUTED_VALUE"""),0.0)</f>
        <v>0</v>
      </c>
    </row>
    <row r="1488">
      <c r="A1488" s="1">
        <f>IFERROR(__xludf.DUMMYFUNCTION("""COMPUTED_VALUE"""),890883.0)</f>
        <v>890883</v>
      </c>
      <c r="B1488" s="2">
        <f>IFERROR(__xludf.DUMMYFUNCTION("""COMPUTED_VALUE"""),42741.04126876107)</f>
        <v>42741.04127</v>
      </c>
      <c r="C1488" s="1" t="str">
        <f>IFERROR(__xludf.DUMMYFUNCTION("""COMPUTED_VALUE"""),"control")</f>
        <v>control</v>
      </c>
      <c r="D1488" s="1" t="str">
        <f>IFERROR(__xludf.DUMMYFUNCTION("""COMPUTED_VALUE"""),"old_page")</f>
        <v>old_page</v>
      </c>
      <c r="E1488" s="1">
        <f>IFERROR(__xludf.DUMMYFUNCTION("""COMPUTED_VALUE"""),0.0)</f>
        <v>0</v>
      </c>
    </row>
    <row r="1489">
      <c r="A1489" s="1">
        <f>IFERROR(__xludf.DUMMYFUNCTION("""COMPUTED_VALUE"""),631261.0)</f>
        <v>631261</v>
      </c>
      <c r="B1489" s="2">
        <f>IFERROR(__xludf.DUMMYFUNCTION("""COMPUTED_VALUE"""),42752.41482116604)</f>
        <v>42752.41482</v>
      </c>
      <c r="C1489" s="1" t="str">
        <f>IFERROR(__xludf.DUMMYFUNCTION("""COMPUTED_VALUE"""),"control")</f>
        <v>control</v>
      </c>
      <c r="D1489" s="1" t="str">
        <f>IFERROR(__xludf.DUMMYFUNCTION("""COMPUTED_VALUE"""),"old_page")</f>
        <v>old_page</v>
      </c>
      <c r="E1489" s="1">
        <f>IFERROR(__xludf.DUMMYFUNCTION("""COMPUTED_VALUE"""),0.0)</f>
        <v>0</v>
      </c>
    </row>
    <row r="1490">
      <c r="A1490" s="1">
        <f>IFERROR(__xludf.DUMMYFUNCTION("""COMPUTED_VALUE"""),837589.0)</f>
        <v>837589</v>
      </c>
      <c r="B1490" s="2">
        <f>IFERROR(__xludf.DUMMYFUNCTION("""COMPUTED_VALUE"""),42751.92601670259)</f>
        <v>42751.92602</v>
      </c>
      <c r="C1490" s="1" t="str">
        <f>IFERROR(__xludf.DUMMYFUNCTION("""COMPUTED_VALUE"""),"treatment")</f>
        <v>treatment</v>
      </c>
      <c r="D1490" s="1" t="str">
        <f>IFERROR(__xludf.DUMMYFUNCTION("""COMPUTED_VALUE"""),"new_page")</f>
        <v>new_page</v>
      </c>
      <c r="E1490" s="1">
        <f>IFERROR(__xludf.DUMMYFUNCTION("""COMPUTED_VALUE"""),0.0)</f>
        <v>0</v>
      </c>
    </row>
    <row r="1491">
      <c r="A1491" s="1">
        <f>IFERROR(__xludf.DUMMYFUNCTION("""COMPUTED_VALUE"""),698845.0)</f>
        <v>698845</v>
      </c>
      <c r="B1491" s="2">
        <f>IFERROR(__xludf.DUMMYFUNCTION("""COMPUTED_VALUE"""),42752.48804320913)</f>
        <v>42752.48804</v>
      </c>
      <c r="C1491" s="1" t="str">
        <f>IFERROR(__xludf.DUMMYFUNCTION("""COMPUTED_VALUE"""),"treatment")</f>
        <v>treatment</v>
      </c>
      <c r="D1491" s="1" t="str">
        <f>IFERROR(__xludf.DUMMYFUNCTION("""COMPUTED_VALUE"""),"new_page")</f>
        <v>new_page</v>
      </c>
      <c r="E1491" s="1">
        <f>IFERROR(__xludf.DUMMYFUNCTION("""COMPUTED_VALUE"""),0.0)</f>
        <v>0</v>
      </c>
    </row>
    <row r="1492">
      <c r="A1492" s="1">
        <f>IFERROR(__xludf.DUMMYFUNCTION("""COMPUTED_VALUE"""),848371.0)</f>
        <v>848371</v>
      </c>
      <c r="B1492" s="2">
        <f>IFERROR(__xludf.DUMMYFUNCTION("""COMPUTED_VALUE"""),42751.39792927536)</f>
        <v>42751.39793</v>
      </c>
      <c r="C1492" s="1" t="str">
        <f>IFERROR(__xludf.DUMMYFUNCTION("""COMPUTED_VALUE"""),"treatment")</f>
        <v>treatment</v>
      </c>
      <c r="D1492" s="1" t="str">
        <f>IFERROR(__xludf.DUMMYFUNCTION("""COMPUTED_VALUE"""),"new_page")</f>
        <v>new_page</v>
      </c>
      <c r="E1492" s="1">
        <f>IFERROR(__xludf.DUMMYFUNCTION("""COMPUTED_VALUE"""),0.0)</f>
        <v>0</v>
      </c>
    </row>
    <row r="1493">
      <c r="A1493" s="1">
        <f>IFERROR(__xludf.DUMMYFUNCTION("""COMPUTED_VALUE"""),861308.0)</f>
        <v>861308</v>
      </c>
      <c r="B1493" s="2">
        <f>IFERROR(__xludf.DUMMYFUNCTION("""COMPUTED_VALUE"""),42753.50985294558)</f>
        <v>42753.50985</v>
      </c>
      <c r="C1493" s="1" t="str">
        <f>IFERROR(__xludf.DUMMYFUNCTION("""COMPUTED_VALUE"""),"treatment")</f>
        <v>treatment</v>
      </c>
      <c r="D1493" s="1" t="str">
        <f>IFERROR(__xludf.DUMMYFUNCTION("""COMPUTED_VALUE"""),"new_page")</f>
        <v>new_page</v>
      </c>
      <c r="E1493" s="1">
        <f>IFERROR(__xludf.DUMMYFUNCTION("""COMPUTED_VALUE"""),0.0)</f>
        <v>0</v>
      </c>
    </row>
    <row r="1494">
      <c r="A1494" s="1">
        <f>IFERROR(__xludf.DUMMYFUNCTION("""COMPUTED_VALUE"""),900379.0)</f>
        <v>900379</v>
      </c>
      <c r="B1494" s="2">
        <f>IFERROR(__xludf.DUMMYFUNCTION("""COMPUTED_VALUE"""),42750.48384307005)</f>
        <v>42750.48384</v>
      </c>
      <c r="C1494" s="1" t="str">
        <f>IFERROR(__xludf.DUMMYFUNCTION("""COMPUTED_VALUE"""),"treatment")</f>
        <v>treatment</v>
      </c>
      <c r="D1494" s="1" t="str">
        <f>IFERROR(__xludf.DUMMYFUNCTION("""COMPUTED_VALUE"""),"new_page")</f>
        <v>new_page</v>
      </c>
      <c r="E1494" s="1">
        <f>IFERROR(__xludf.DUMMYFUNCTION("""COMPUTED_VALUE"""),0.0)</f>
        <v>0</v>
      </c>
    </row>
    <row r="1495">
      <c r="A1495" s="1">
        <f>IFERROR(__xludf.DUMMYFUNCTION("""COMPUTED_VALUE"""),909757.0)</f>
        <v>909757</v>
      </c>
      <c r="B1495" s="2">
        <f>IFERROR(__xludf.DUMMYFUNCTION("""COMPUTED_VALUE"""),42753.758318592016)</f>
        <v>42753.75832</v>
      </c>
      <c r="C1495" s="1" t="str">
        <f>IFERROR(__xludf.DUMMYFUNCTION("""COMPUTED_VALUE"""),"control")</f>
        <v>control</v>
      </c>
      <c r="D1495" s="1" t="str">
        <f>IFERROR(__xludf.DUMMYFUNCTION("""COMPUTED_VALUE"""),"old_page")</f>
        <v>old_page</v>
      </c>
      <c r="E1495" s="1">
        <f>IFERROR(__xludf.DUMMYFUNCTION("""COMPUTED_VALUE"""),0.0)</f>
        <v>0</v>
      </c>
    </row>
    <row r="1496">
      <c r="A1496" s="1">
        <f>IFERROR(__xludf.DUMMYFUNCTION("""COMPUTED_VALUE"""),799416.0)</f>
        <v>799416</v>
      </c>
      <c r="B1496" s="2">
        <f>IFERROR(__xludf.DUMMYFUNCTION("""COMPUTED_VALUE"""),42740.68744262809)</f>
        <v>42740.68744</v>
      </c>
      <c r="C1496" s="1" t="str">
        <f>IFERROR(__xludf.DUMMYFUNCTION("""COMPUTED_VALUE"""),"control")</f>
        <v>control</v>
      </c>
      <c r="D1496" s="1" t="str">
        <f>IFERROR(__xludf.DUMMYFUNCTION("""COMPUTED_VALUE"""),"old_page")</f>
        <v>old_page</v>
      </c>
      <c r="E1496" s="1">
        <f>IFERROR(__xludf.DUMMYFUNCTION("""COMPUTED_VALUE"""),1.0)</f>
        <v>1</v>
      </c>
    </row>
    <row r="1497">
      <c r="A1497" s="1">
        <f>IFERROR(__xludf.DUMMYFUNCTION("""COMPUTED_VALUE"""),914029.0)</f>
        <v>914029</v>
      </c>
      <c r="B1497" s="2">
        <f>IFERROR(__xludf.DUMMYFUNCTION("""COMPUTED_VALUE"""),42754.11471662484)</f>
        <v>42754.11472</v>
      </c>
      <c r="C1497" s="1" t="str">
        <f>IFERROR(__xludf.DUMMYFUNCTION("""COMPUTED_VALUE"""),"control")</f>
        <v>control</v>
      </c>
      <c r="D1497" s="1" t="str">
        <f>IFERROR(__xludf.DUMMYFUNCTION("""COMPUTED_VALUE"""),"old_page")</f>
        <v>old_page</v>
      </c>
      <c r="E1497" s="1">
        <f>IFERROR(__xludf.DUMMYFUNCTION("""COMPUTED_VALUE"""),0.0)</f>
        <v>0</v>
      </c>
    </row>
    <row r="1498">
      <c r="A1498" s="1">
        <f>IFERROR(__xludf.DUMMYFUNCTION("""COMPUTED_VALUE"""),727991.0)</f>
        <v>727991</v>
      </c>
      <c r="B1498" s="2">
        <f>IFERROR(__xludf.DUMMYFUNCTION("""COMPUTED_VALUE"""),42752.55793615405)</f>
        <v>42752.55794</v>
      </c>
      <c r="C1498" s="1" t="str">
        <f>IFERROR(__xludf.DUMMYFUNCTION("""COMPUTED_VALUE"""),"treatment")</f>
        <v>treatment</v>
      </c>
      <c r="D1498" s="1" t="str">
        <f>IFERROR(__xludf.DUMMYFUNCTION("""COMPUTED_VALUE"""),"new_page")</f>
        <v>new_page</v>
      </c>
      <c r="E1498" s="1">
        <f>IFERROR(__xludf.DUMMYFUNCTION("""COMPUTED_VALUE"""),0.0)</f>
        <v>0</v>
      </c>
    </row>
    <row r="1499">
      <c r="A1499" s="1">
        <f>IFERROR(__xludf.DUMMYFUNCTION("""COMPUTED_VALUE"""),912179.0)</f>
        <v>912179</v>
      </c>
      <c r="B1499" s="2">
        <f>IFERROR(__xludf.DUMMYFUNCTION("""COMPUTED_VALUE"""),42743.16562785919)</f>
        <v>42743.16563</v>
      </c>
      <c r="C1499" s="1" t="str">
        <f>IFERROR(__xludf.DUMMYFUNCTION("""COMPUTED_VALUE"""),"control")</f>
        <v>control</v>
      </c>
      <c r="D1499" s="1" t="str">
        <f>IFERROR(__xludf.DUMMYFUNCTION("""COMPUTED_VALUE"""),"old_page")</f>
        <v>old_page</v>
      </c>
      <c r="E1499" s="1">
        <f>IFERROR(__xludf.DUMMYFUNCTION("""COMPUTED_VALUE"""),1.0)</f>
        <v>1</v>
      </c>
    </row>
    <row r="1500">
      <c r="A1500" s="1">
        <f>IFERROR(__xludf.DUMMYFUNCTION("""COMPUTED_VALUE"""),773967.0)</f>
        <v>773967</v>
      </c>
      <c r="B1500" s="2">
        <f>IFERROR(__xludf.DUMMYFUNCTION("""COMPUTED_VALUE"""),42747.545341946294)</f>
        <v>42747.54534</v>
      </c>
      <c r="C1500" s="1" t="str">
        <f>IFERROR(__xludf.DUMMYFUNCTION("""COMPUTED_VALUE"""),"treatment")</f>
        <v>treatment</v>
      </c>
      <c r="D1500" s="1" t="str">
        <f>IFERROR(__xludf.DUMMYFUNCTION("""COMPUTED_VALUE"""),"new_page")</f>
        <v>new_page</v>
      </c>
      <c r="E1500" s="1">
        <f>IFERROR(__xludf.DUMMYFUNCTION("""COMPUTED_VALUE"""),0.0)</f>
        <v>0</v>
      </c>
    </row>
    <row r="1501">
      <c r="A1501" s="1">
        <f>IFERROR(__xludf.DUMMYFUNCTION("""COMPUTED_VALUE"""),766147.0)</f>
        <v>766147</v>
      </c>
      <c r="B1501" s="2">
        <f>IFERROR(__xludf.DUMMYFUNCTION("""COMPUTED_VALUE"""),42747.07806712603)</f>
        <v>42747.07807</v>
      </c>
      <c r="C1501" s="1" t="str">
        <f>IFERROR(__xludf.DUMMYFUNCTION("""COMPUTED_VALUE"""),"treatment")</f>
        <v>treatment</v>
      </c>
      <c r="D1501" s="1" t="str">
        <f>IFERROR(__xludf.DUMMYFUNCTION("""COMPUTED_VALUE"""),"new_page")</f>
        <v>new_page</v>
      </c>
      <c r="E1501" s="1">
        <f>IFERROR(__xludf.DUMMYFUNCTION("""COMPUTED_VALUE"""),0.0)</f>
        <v>0</v>
      </c>
    </row>
    <row r="1502">
      <c r="A1502" s="1">
        <f>IFERROR(__xludf.DUMMYFUNCTION("""COMPUTED_VALUE"""),637815.0)</f>
        <v>637815</v>
      </c>
      <c r="B1502" s="2">
        <f>IFERROR(__xludf.DUMMYFUNCTION("""COMPUTED_VALUE"""),42737.598483015645)</f>
        <v>42737.59848</v>
      </c>
      <c r="C1502" s="1" t="str">
        <f>IFERROR(__xludf.DUMMYFUNCTION("""COMPUTED_VALUE"""),"control")</f>
        <v>control</v>
      </c>
      <c r="D1502" s="1" t="str">
        <f>IFERROR(__xludf.DUMMYFUNCTION("""COMPUTED_VALUE"""),"old_page")</f>
        <v>old_page</v>
      </c>
      <c r="E1502" s="1">
        <f>IFERROR(__xludf.DUMMYFUNCTION("""COMPUTED_VALUE"""),0.0)</f>
        <v>0</v>
      </c>
    </row>
    <row r="1503">
      <c r="A1503" s="1">
        <f>IFERROR(__xludf.DUMMYFUNCTION("""COMPUTED_VALUE"""),857242.0)</f>
        <v>857242</v>
      </c>
      <c r="B1503" s="2">
        <f>IFERROR(__xludf.DUMMYFUNCTION("""COMPUTED_VALUE"""),42745.87809474968)</f>
        <v>42745.87809</v>
      </c>
      <c r="C1503" s="1" t="str">
        <f>IFERROR(__xludf.DUMMYFUNCTION("""COMPUTED_VALUE"""),"control")</f>
        <v>control</v>
      </c>
      <c r="D1503" s="1" t="str">
        <f>IFERROR(__xludf.DUMMYFUNCTION("""COMPUTED_VALUE"""),"old_page")</f>
        <v>old_page</v>
      </c>
      <c r="E1503" s="1">
        <f>IFERROR(__xludf.DUMMYFUNCTION("""COMPUTED_VALUE"""),0.0)</f>
        <v>0</v>
      </c>
    </row>
    <row r="1504">
      <c r="A1504" s="1">
        <f>IFERROR(__xludf.DUMMYFUNCTION("""COMPUTED_VALUE"""),842376.0)</f>
        <v>842376</v>
      </c>
      <c r="B1504" s="2">
        <f>IFERROR(__xludf.DUMMYFUNCTION("""COMPUTED_VALUE"""),42747.71650791128)</f>
        <v>42747.71651</v>
      </c>
      <c r="C1504" s="1" t="str">
        <f>IFERROR(__xludf.DUMMYFUNCTION("""COMPUTED_VALUE"""),"treatment")</f>
        <v>treatment</v>
      </c>
      <c r="D1504" s="1" t="str">
        <f>IFERROR(__xludf.DUMMYFUNCTION("""COMPUTED_VALUE"""),"new_page")</f>
        <v>new_page</v>
      </c>
      <c r="E1504" s="1">
        <f>IFERROR(__xludf.DUMMYFUNCTION("""COMPUTED_VALUE"""),0.0)</f>
        <v>0</v>
      </c>
    </row>
    <row r="1505">
      <c r="A1505" s="1">
        <f>IFERROR(__xludf.DUMMYFUNCTION("""COMPUTED_VALUE"""),940539.0)</f>
        <v>940539</v>
      </c>
      <c r="B1505" s="2">
        <f>IFERROR(__xludf.DUMMYFUNCTION("""COMPUTED_VALUE"""),42752.60499178532)</f>
        <v>42752.60499</v>
      </c>
      <c r="C1505" s="1" t="str">
        <f>IFERROR(__xludf.DUMMYFUNCTION("""COMPUTED_VALUE"""),"treatment")</f>
        <v>treatment</v>
      </c>
      <c r="D1505" s="1" t="str">
        <f>IFERROR(__xludf.DUMMYFUNCTION("""COMPUTED_VALUE"""),"new_page")</f>
        <v>new_page</v>
      </c>
      <c r="E1505" s="1">
        <f>IFERROR(__xludf.DUMMYFUNCTION("""COMPUTED_VALUE"""),0.0)</f>
        <v>0</v>
      </c>
    </row>
    <row r="1506">
      <c r="A1506" s="1">
        <f>IFERROR(__xludf.DUMMYFUNCTION("""COMPUTED_VALUE"""),863349.0)</f>
        <v>863349</v>
      </c>
      <c r="B1506" s="2">
        <f>IFERROR(__xludf.DUMMYFUNCTION("""COMPUTED_VALUE"""),42738.69391755288)</f>
        <v>42738.69392</v>
      </c>
      <c r="C1506" s="1" t="str">
        <f>IFERROR(__xludf.DUMMYFUNCTION("""COMPUTED_VALUE"""),"control")</f>
        <v>control</v>
      </c>
      <c r="D1506" s="1" t="str">
        <f>IFERROR(__xludf.DUMMYFUNCTION("""COMPUTED_VALUE"""),"old_page")</f>
        <v>old_page</v>
      </c>
      <c r="E1506" s="1">
        <f>IFERROR(__xludf.DUMMYFUNCTION("""COMPUTED_VALUE"""),0.0)</f>
        <v>0</v>
      </c>
    </row>
    <row r="1507">
      <c r="A1507" s="1">
        <f>IFERROR(__xludf.DUMMYFUNCTION("""COMPUTED_VALUE"""),871289.0)</f>
        <v>871289</v>
      </c>
      <c r="B1507" s="2">
        <f>IFERROR(__xludf.DUMMYFUNCTION("""COMPUTED_VALUE"""),42748.21231412043)</f>
        <v>42748.21231</v>
      </c>
      <c r="C1507" s="1" t="str">
        <f>IFERROR(__xludf.DUMMYFUNCTION("""COMPUTED_VALUE"""),"control")</f>
        <v>control</v>
      </c>
      <c r="D1507" s="1" t="str">
        <f>IFERROR(__xludf.DUMMYFUNCTION("""COMPUTED_VALUE"""),"old_page")</f>
        <v>old_page</v>
      </c>
      <c r="E1507" s="1">
        <f>IFERROR(__xludf.DUMMYFUNCTION("""COMPUTED_VALUE"""),0.0)</f>
        <v>0</v>
      </c>
    </row>
    <row r="1508">
      <c r="A1508" s="1">
        <f>IFERROR(__xludf.DUMMYFUNCTION("""COMPUTED_VALUE"""),780478.0)</f>
        <v>780478</v>
      </c>
      <c r="B1508" s="2">
        <f>IFERROR(__xludf.DUMMYFUNCTION("""COMPUTED_VALUE"""),42738.59738334564)</f>
        <v>42738.59738</v>
      </c>
      <c r="C1508" s="1" t="str">
        <f>IFERROR(__xludf.DUMMYFUNCTION("""COMPUTED_VALUE"""),"control")</f>
        <v>control</v>
      </c>
      <c r="D1508" s="1" t="str">
        <f>IFERROR(__xludf.DUMMYFUNCTION("""COMPUTED_VALUE"""),"old_page")</f>
        <v>old_page</v>
      </c>
      <c r="E1508" s="1">
        <f>IFERROR(__xludf.DUMMYFUNCTION("""COMPUTED_VALUE"""),1.0)</f>
        <v>1</v>
      </c>
    </row>
    <row r="1509">
      <c r="A1509" s="1">
        <f>IFERROR(__xludf.DUMMYFUNCTION("""COMPUTED_VALUE"""),839089.0)</f>
        <v>839089</v>
      </c>
      <c r="B1509" s="2">
        <f>IFERROR(__xludf.DUMMYFUNCTION("""COMPUTED_VALUE"""),42740.96545108222)</f>
        <v>42740.96545</v>
      </c>
      <c r="C1509" s="1" t="str">
        <f>IFERROR(__xludf.DUMMYFUNCTION("""COMPUTED_VALUE"""),"control")</f>
        <v>control</v>
      </c>
      <c r="D1509" s="1" t="str">
        <f>IFERROR(__xludf.DUMMYFUNCTION("""COMPUTED_VALUE"""),"old_page")</f>
        <v>old_page</v>
      </c>
      <c r="E1509" s="1">
        <f>IFERROR(__xludf.DUMMYFUNCTION("""COMPUTED_VALUE"""),0.0)</f>
        <v>0</v>
      </c>
    </row>
    <row r="1510">
      <c r="A1510" s="1">
        <f>IFERROR(__xludf.DUMMYFUNCTION("""COMPUTED_VALUE"""),741531.0)</f>
        <v>741531</v>
      </c>
      <c r="B1510" s="2">
        <f>IFERROR(__xludf.DUMMYFUNCTION("""COMPUTED_VALUE"""),42743.78166659112)</f>
        <v>42743.78167</v>
      </c>
      <c r="C1510" s="1" t="str">
        <f>IFERROR(__xludf.DUMMYFUNCTION("""COMPUTED_VALUE"""),"control")</f>
        <v>control</v>
      </c>
      <c r="D1510" s="1" t="str">
        <f>IFERROR(__xludf.DUMMYFUNCTION("""COMPUTED_VALUE"""),"old_page")</f>
        <v>old_page</v>
      </c>
      <c r="E1510" s="1">
        <f>IFERROR(__xludf.DUMMYFUNCTION("""COMPUTED_VALUE"""),0.0)</f>
        <v>0</v>
      </c>
    </row>
    <row r="1511">
      <c r="A1511" s="1">
        <f>IFERROR(__xludf.DUMMYFUNCTION("""COMPUTED_VALUE"""),705197.0)</f>
        <v>705197</v>
      </c>
      <c r="B1511" s="2">
        <f>IFERROR(__xludf.DUMMYFUNCTION("""COMPUTED_VALUE"""),42746.85462999244)</f>
        <v>42746.85463</v>
      </c>
      <c r="C1511" s="1" t="str">
        <f>IFERROR(__xludf.DUMMYFUNCTION("""COMPUTED_VALUE"""),"control")</f>
        <v>control</v>
      </c>
      <c r="D1511" s="1" t="str">
        <f>IFERROR(__xludf.DUMMYFUNCTION("""COMPUTED_VALUE"""),"old_page")</f>
        <v>old_page</v>
      </c>
      <c r="E1511" s="1">
        <f>IFERROR(__xludf.DUMMYFUNCTION("""COMPUTED_VALUE"""),0.0)</f>
        <v>0</v>
      </c>
    </row>
    <row r="1512">
      <c r="A1512" s="1">
        <f>IFERROR(__xludf.DUMMYFUNCTION("""COMPUTED_VALUE"""),804853.0)</f>
        <v>804853</v>
      </c>
      <c r="B1512" s="2">
        <f>IFERROR(__xludf.DUMMYFUNCTION("""COMPUTED_VALUE"""),42758.050989985626)</f>
        <v>42758.05099</v>
      </c>
      <c r="C1512" s="1" t="str">
        <f>IFERROR(__xludf.DUMMYFUNCTION("""COMPUTED_VALUE"""),"treatment")</f>
        <v>treatment</v>
      </c>
      <c r="D1512" s="1" t="str">
        <f>IFERROR(__xludf.DUMMYFUNCTION("""COMPUTED_VALUE"""),"new_page")</f>
        <v>new_page</v>
      </c>
      <c r="E1512" s="1">
        <f>IFERROR(__xludf.DUMMYFUNCTION("""COMPUTED_VALUE"""),0.0)</f>
        <v>0</v>
      </c>
    </row>
    <row r="1513">
      <c r="A1513" s="1">
        <f>IFERROR(__xludf.DUMMYFUNCTION("""COMPUTED_VALUE"""),862517.0)</f>
        <v>862517</v>
      </c>
      <c r="B1513" s="2">
        <f>IFERROR(__xludf.DUMMYFUNCTION("""COMPUTED_VALUE"""),42737.75238861355)</f>
        <v>42737.75239</v>
      </c>
      <c r="C1513" s="1" t="str">
        <f>IFERROR(__xludf.DUMMYFUNCTION("""COMPUTED_VALUE"""),"control")</f>
        <v>control</v>
      </c>
      <c r="D1513" s="1" t="str">
        <f>IFERROR(__xludf.DUMMYFUNCTION("""COMPUTED_VALUE"""),"old_page")</f>
        <v>old_page</v>
      </c>
      <c r="E1513" s="1">
        <f>IFERROR(__xludf.DUMMYFUNCTION("""COMPUTED_VALUE"""),0.0)</f>
        <v>0</v>
      </c>
    </row>
    <row r="1514">
      <c r="A1514" s="1">
        <f>IFERROR(__xludf.DUMMYFUNCTION("""COMPUTED_VALUE"""),940666.0)</f>
        <v>940666</v>
      </c>
      <c r="B1514" s="2">
        <f>IFERROR(__xludf.DUMMYFUNCTION("""COMPUTED_VALUE"""),42742.1788330595)</f>
        <v>42742.17883</v>
      </c>
      <c r="C1514" s="1" t="str">
        <f>IFERROR(__xludf.DUMMYFUNCTION("""COMPUTED_VALUE"""),"control")</f>
        <v>control</v>
      </c>
      <c r="D1514" s="1" t="str">
        <f>IFERROR(__xludf.DUMMYFUNCTION("""COMPUTED_VALUE"""),"old_page")</f>
        <v>old_page</v>
      </c>
      <c r="E1514" s="1">
        <f>IFERROR(__xludf.DUMMYFUNCTION("""COMPUTED_VALUE"""),1.0)</f>
        <v>1</v>
      </c>
    </row>
    <row r="1515">
      <c r="A1515" s="1">
        <f>IFERROR(__xludf.DUMMYFUNCTION("""COMPUTED_VALUE"""),918875.0)</f>
        <v>918875</v>
      </c>
      <c r="B1515" s="2">
        <f>IFERROR(__xludf.DUMMYFUNCTION("""COMPUTED_VALUE"""),42757.758676654215)</f>
        <v>42757.75868</v>
      </c>
      <c r="C1515" s="1" t="str">
        <f>IFERROR(__xludf.DUMMYFUNCTION("""COMPUTED_VALUE"""),"control")</f>
        <v>control</v>
      </c>
      <c r="D1515" s="1" t="str">
        <f>IFERROR(__xludf.DUMMYFUNCTION("""COMPUTED_VALUE"""),"old_page")</f>
        <v>old_page</v>
      </c>
      <c r="E1515" s="1">
        <f>IFERROR(__xludf.DUMMYFUNCTION("""COMPUTED_VALUE"""),0.0)</f>
        <v>0</v>
      </c>
    </row>
    <row r="1516">
      <c r="A1516" s="1">
        <f>IFERROR(__xludf.DUMMYFUNCTION("""COMPUTED_VALUE"""),739257.0)</f>
        <v>739257</v>
      </c>
      <c r="B1516" s="2">
        <f>IFERROR(__xludf.DUMMYFUNCTION("""COMPUTED_VALUE"""),42756.227097031566)</f>
        <v>42756.2271</v>
      </c>
      <c r="C1516" s="1" t="str">
        <f>IFERROR(__xludf.DUMMYFUNCTION("""COMPUTED_VALUE"""),"control")</f>
        <v>control</v>
      </c>
      <c r="D1516" s="1" t="str">
        <f>IFERROR(__xludf.DUMMYFUNCTION("""COMPUTED_VALUE"""),"old_page")</f>
        <v>old_page</v>
      </c>
      <c r="E1516" s="1">
        <f>IFERROR(__xludf.DUMMYFUNCTION("""COMPUTED_VALUE"""),0.0)</f>
        <v>0</v>
      </c>
    </row>
    <row r="1517">
      <c r="A1517" s="1">
        <f>IFERROR(__xludf.DUMMYFUNCTION("""COMPUTED_VALUE"""),816648.0)</f>
        <v>816648</v>
      </c>
      <c r="B1517" s="2">
        <f>IFERROR(__xludf.DUMMYFUNCTION("""COMPUTED_VALUE"""),42753.18819246625)</f>
        <v>42753.18819</v>
      </c>
      <c r="C1517" s="1" t="str">
        <f>IFERROR(__xludf.DUMMYFUNCTION("""COMPUTED_VALUE"""),"treatment")</f>
        <v>treatment</v>
      </c>
      <c r="D1517" s="1" t="str">
        <f>IFERROR(__xludf.DUMMYFUNCTION("""COMPUTED_VALUE"""),"new_page")</f>
        <v>new_page</v>
      </c>
      <c r="E1517" s="1">
        <f>IFERROR(__xludf.DUMMYFUNCTION("""COMPUTED_VALUE"""),0.0)</f>
        <v>0</v>
      </c>
    </row>
    <row r="1518">
      <c r="A1518" s="1">
        <f>IFERROR(__xludf.DUMMYFUNCTION("""COMPUTED_VALUE"""),909450.0)</f>
        <v>909450</v>
      </c>
      <c r="B1518" s="2">
        <f>IFERROR(__xludf.DUMMYFUNCTION("""COMPUTED_VALUE"""),42755.24757807391)</f>
        <v>42755.24758</v>
      </c>
      <c r="C1518" s="1" t="str">
        <f>IFERROR(__xludf.DUMMYFUNCTION("""COMPUTED_VALUE"""),"treatment")</f>
        <v>treatment</v>
      </c>
      <c r="D1518" s="1" t="str">
        <f>IFERROR(__xludf.DUMMYFUNCTION("""COMPUTED_VALUE"""),"new_page")</f>
        <v>new_page</v>
      </c>
      <c r="E1518" s="1">
        <f>IFERROR(__xludf.DUMMYFUNCTION("""COMPUTED_VALUE"""),0.0)</f>
        <v>0</v>
      </c>
    </row>
    <row r="1519">
      <c r="A1519" s="1">
        <f>IFERROR(__xludf.DUMMYFUNCTION("""COMPUTED_VALUE"""),891585.0)</f>
        <v>891585</v>
      </c>
      <c r="B1519" s="2">
        <f>IFERROR(__xludf.DUMMYFUNCTION("""COMPUTED_VALUE"""),42740.06817615259)</f>
        <v>42740.06818</v>
      </c>
      <c r="C1519" s="1" t="str">
        <f>IFERROR(__xludf.DUMMYFUNCTION("""COMPUTED_VALUE"""),"control")</f>
        <v>control</v>
      </c>
      <c r="D1519" s="1" t="str">
        <f>IFERROR(__xludf.DUMMYFUNCTION("""COMPUTED_VALUE"""),"old_page")</f>
        <v>old_page</v>
      </c>
      <c r="E1519" s="1">
        <f>IFERROR(__xludf.DUMMYFUNCTION("""COMPUTED_VALUE"""),0.0)</f>
        <v>0</v>
      </c>
    </row>
    <row r="1520">
      <c r="A1520" s="1">
        <f>IFERROR(__xludf.DUMMYFUNCTION("""COMPUTED_VALUE"""),709185.0)</f>
        <v>709185</v>
      </c>
      <c r="B1520" s="2">
        <f>IFERROR(__xludf.DUMMYFUNCTION("""COMPUTED_VALUE"""),42759.49742142985)</f>
        <v>42759.49742</v>
      </c>
      <c r="C1520" s="1" t="str">
        <f>IFERROR(__xludf.DUMMYFUNCTION("""COMPUTED_VALUE"""),"control")</f>
        <v>control</v>
      </c>
      <c r="D1520" s="1" t="str">
        <f>IFERROR(__xludf.DUMMYFUNCTION("""COMPUTED_VALUE"""),"old_page")</f>
        <v>old_page</v>
      </c>
      <c r="E1520" s="1">
        <f>IFERROR(__xludf.DUMMYFUNCTION("""COMPUTED_VALUE"""),0.0)</f>
        <v>0</v>
      </c>
    </row>
    <row r="1521">
      <c r="A1521" s="1">
        <f>IFERROR(__xludf.DUMMYFUNCTION("""COMPUTED_VALUE"""),769039.0)</f>
        <v>769039</v>
      </c>
      <c r="B1521" s="2">
        <f>IFERROR(__xludf.DUMMYFUNCTION("""COMPUTED_VALUE"""),42750.51166407964)</f>
        <v>42750.51166</v>
      </c>
      <c r="C1521" s="1" t="str">
        <f>IFERROR(__xludf.DUMMYFUNCTION("""COMPUTED_VALUE"""),"control")</f>
        <v>control</v>
      </c>
      <c r="D1521" s="1" t="str">
        <f>IFERROR(__xludf.DUMMYFUNCTION("""COMPUTED_VALUE"""),"old_page")</f>
        <v>old_page</v>
      </c>
      <c r="E1521" s="1">
        <f>IFERROR(__xludf.DUMMYFUNCTION("""COMPUTED_VALUE"""),0.0)</f>
        <v>0</v>
      </c>
    </row>
    <row r="1522">
      <c r="A1522" s="1">
        <f>IFERROR(__xludf.DUMMYFUNCTION("""COMPUTED_VALUE"""),873508.0)</f>
        <v>873508</v>
      </c>
      <c r="B1522" s="2">
        <f>IFERROR(__xludf.DUMMYFUNCTION("""COMPUTED_VALUE"""),42754.395374225394)</f>
        <v>42754.39537</v>
      </c>
      <c r="C1522" s="1" t="str">
        <f>IFERROR(__xludf.DUMMYFUNCTION("""COMPUTED_VALUE"""),"control")</f>
        <v>control</v>
      </c>
      <c r="D1522" s="1" t="str">
        <f>IFERROR(__xludf.DUMMYFUNCTION("""COMPUTED_VALUE"""),"old_page")</f>
        <v>old_page</v>
      </c>
      <c r="E1522" s="1">
        <f>IFERROR(__xludf.DUMMYFUNCTION("""COMPUTED_VALUE"""),0.0)</f>
        <v>0</v>
      </c>
    </row>
    <row r="1523">
      <c r="A1523" s="1">
        <f>IFERROR(__xludf.DUMMYFUNCTION("""COMPUTED_VALUE"""),688211.0)</f>
        <v>688211</v>
      </c>
      <c r="B1523" s="2">
        <f>IFERROR(__xludf.DUMMYFUNCTION("""COMPUTED_VALUE"""),42749.40227789751)</f>
        <v>42749.40228</v>
      </c>
      <c r="C1523" s="1" t="str">
        <f>IFERROR(__xludf.DUMMYFUNCTION("""COMPUTED_VALUE"""),"control")</f>
        <v>control</v>
      </c>
      <c r="D1523" s="1" t="str">
        <f>IFERROR(__xludf.DUMMYFUNCTION("""COMPUTED_VALUE"""),"old_page")</f>
        <v>old_page</v>
      </c>
      <c r="E1523" s="1">
        <f>IFERROR(__xludf.DUMMYFUNCTION("""COMPUTED_VALUE"""),0.0)</f>
        <v>0</v>
      </c>
    </row>
    <row r="1524">
      <c r="A1524" s="1">
        <f>IFERROR(__xludf.DUMMYFUNCTION("""COMPUTED_VALUE"""),888342.0)</f>
        <v>888342</v>
      </c>
      <c r="B1524" s="2">
        <f>IFERROR(__xludf.DUMMYFUNCTION("""COMPUTED_VALUE"""),42748.33850471708)</f>
        <v>42748.3385</v>
      </c>
      <c r="C1524" s="1" t="str">
        <f>IFERROR(__xludf.DUMMYFUNCTION("""COMPUTED_VALUE"""),"treatment")</f>
        <v>treatment</v>
      </c>
      <c r="D1524" s="1" t="str">
        <f>IFERROR(__xludf.DUMMYFUNCTION("""COMPUTED_VALUE"""),"new_page")</f>
        <v>new_page</v>
      </c>
      <c r="E1524" s="1">
        <f>IFERROR(__xludf.DUMMYFUNCTION("""COMPUTED_VALUE"""),0.0)</f>
        <v>0</v>
      </c>
    </row>
    <row r="1525">
      <c r="A1525" s="1">
        <f>IFERROR(__xludf.DUMMYFUNCTION("""COMPUTED_VALUE"""),742336.0)</f>
        <v>742336</v>
      </c>
      <c r="B1525" s="2">
        <f>IFERROR(__xludf.DUMMYFUNCTION("""COMPUTED_VALUE"""),42742.116077869156)</f>
        <v>42742.11608</v>
      </c>
      <c r="C1525" s="1" t="str">
        <f>IFERROR(__xludf.DUMMYFUNCTION("""COMPUTED_VALUE"""),"control")</f>
        <v>control</v>
      </c>
      <c r="D1525" s="1" t="str">
        <f>IFERROR(__xludf.DUMMYFUNCTION("""COMPUTED_VALUE"""),"old_page")</f>
        <v>old_page</v>
      </c>
      <c r="E1525" s="1">
        <f>IFERROR(__xludf.DUMMYFUNCTION("""COMPUTED_VALUE"""),0.0)</f>
        <v>0</v>
      </c>
    </row>
    <row r="1526">
      <c r="A1526" s="1">
        <f>IFERROR(__xludf.DUMMYFUNCTION("""COMPUTED_VALUE"""),715554.0)</f>
        <v>715554</v>
      </c>
      <c r="B1526" s="2">
        <f>IFERROR(__xludf.DUMMYFUNCTION("""COMPUTED_VALUE"""),42750.90444021034)</f>
        <v>42750.90444</v>
      </c>
      <c r="C1526" s="1" t="str">
        <f>IFERROR(__xludf.DUMMYFUNCTION("""COMPUTED_VALUE"""),"control")</f>
        <v>control</v>
      </c>
      <c r="D1526" s="1" t="str">
        <f>IFERROR(__xludf.DUMMYFUNCTION("""COMPUTED_VALUE"""),"old_page")</f>
        <v>old_page</v>
      </c>
      <c r="E1526" s="1">
        <f>IFERROR(__xludf.DUMMYFUNCTION("""COMPUTED_VALUE"""),0.0)</f>
        <v>0</v>
      </c>
    </row>
    <row r="1527">
      <c r="A1527" s="1">
        <f>IFERROR(__xludf.DUMMYFUNCTION("""COMPUTED_VALUE"""),864961.0)</f>
        <v>864961</v>
      </c>
      <c r="B1527" s="2">
        <f>IFERROR(__xludf.DUMMYFUNCTION("""COMPUTED_VALUE"""),42742.395567709595)</f>
        <v>42742.39557</v>
      </c>
      <c r="C1527" s="1" t="str">
        <f>IFERROR(__xludf.DUMMYFUNCTION("""COMPUTED_VALUE"""),"control")</f>
        <v>control</v>
      </c>
      <c r="D1527" s="1" t="str">
        <f>IFERROR(__xludf.DUMMYFUNCTION("""COMPUTED_VALUE"""),"old_page")</f>
        <v>old_page</v>
      </c>
      <c r="E1527" s="1">
        <f>IFERROR(__xludf.DUMMYFUNCTION("""COMPUTED_VALUE"""),0.0)</f>
        <v>0</v>
      </c>
    </row>
    <row r="1528">
      <c r="A1528" s="1">
        <f>IFERROR(__xludf.DUMMYFUNCTION("""COMPUTED_VALUE"""),859649.0)</f>
        <v>859649</v>
      </c>
      <c r="B1528" s="2">
        <f>IFERROR(__xludf.DUMMYFUNCTION("""COMPUTED_VALUE"""),42756.3595051395)</f>
        <v>42756.35951</v>
      </c>
      <c r="C1528" s="1" t="str">
        <f>IFERROR(__xludf.DUMMYFUNCTION("""COMPUTED_VALUE"""),"control")</f>
        <v>control</v>
      </c>
      <c r="D1528" s="1" t="str">
        <f>IFERROR(__xludf.DUMMYFUNCTION("""COMPUTED_VALUE"""),"old_page")</f>
        <v>old_page</v>
      </c>
      <c r="E1528" s="1">
        <f>IFERROR(__xludf.DUMMYFUNCTION("""COMPUTED_VALUE"""),0.0)</f>
        <v>0</v>
      </c>
    </row>
    <row r="1529">
      <c r="A1529" s="1">
        <f>IFERROR(__xludf.DUMMYFUNCTION("""COMPUTED_VALUE"""),865135.0)</f>
        <v>865135</v>
      </c>
      <c r="B1529" s="2">
        <f>IFERROR(__xludf.DUMMYFUNCTION("""COMPUTED_VALUE"""),42759.3919522498)</f>
        <v>42759.39195</v>
      </c>
      <c r="C1529" s="1" t="str">
        <f>IFERROR(__xludf.DUMMYFUNCTION("""COMPUTED_VALUE"""),"control")</f>
        <v>control</v>
      </c>
      <c r="D1529" s="1" t="str">
        <f>IFERROR(__xludf.DUMMYFUNCTION("""COMPUTED_VALUE"""),"old_page")</f>
        <v>old_page</v>
      </c>
      <c r="E1529" s="1">
        <f>IFERROR(__xludf.DUMMYFUNCTION("""COMPUTED_VALUE"""),0.0)</f>
        <v>0</v>
      </c>
    </row>
    <row r="1530">
      <c r="A1530" s="1">
        <f>IFERROR(__xludf.DUMMYFUNCTION("""COMPUTED_VALUE"""),832904.0)</f>
        <v>832904</v>
      </c>
      <c r="B1530" s="2">
        <f>IFERROR(__xludf.DUMMYFUNCTION("""COMPUTED_VALUE"""),42744.03989756206)</f>
        <v>42744.0399</v>
      </c>
      <c r="C1530" s="1" t="str">
        <f>IFERROR(__xludf.DUMMYFUNCTION("""COMPUTED_VALUE"""),"treatment")</f>
        <v>treatment</v>
      </c>
      <c r="D1530" s="1" t="str">
        <f>IFERROR(__xludf.DUMMYFUNCTION("""COMPUTED_VALUE"""),"new_page")</f>
        <v>new_page</v>
      </c>
      <c r="E1530" s="1">
        <f>IFERROR(__xludf.DUMMYFUNCTION("""COMPUTED_VALUE"""),0.0)</f>
        <v>0</v>
      </c>
    </row>
    <row r="1531">
      <c r="A1531" s="1">
        <f>IFERROR(__xludf.DUMMYFUNCTION("""COMPUTED_VALUE"""),858966.0)</f>
        <v>858966</v>
      </c>
      <c r="B1531" s="2">
        <f>IFERROR(__xludf.DUMMYFUNCTION("""COMPUTED_VALUE"""),42746.51887512404)</f>
        <v>42746.51888</v>
      </c>
      <c r="C1531" s="1" t="str">
        <f>IFERROR(__xludf.DUMMYFUNCTION("""COMPUTED_VALUE"""),"treatment")</f>
        <v>treatment</v>
      </c>
      <c r="D1531" s="1" t="str">
        <f>IFERROR(__xludf.DUMMYFUNCTION("""COMPUTED_VALUE"""),"new_page")</f>
        <v>new_page</v>
      </c>
      <c r="E1531" s="1">
        <f>IFERROR(__xludf.DUMMYFUNCTION("""COMPUTED_VALUE"""),0.0)</f>
        <v>0</v>
      </c>
    </row>
    <row r="1532">
      <c r="A1532" s="1">
        <f>IFERROR(__xludf.DUMMYFUNCTION("""COMPUTED_VALUE"""),939369.0)</f>
        <v>939369</v>
      </c>
      <c r="B1532" s="2">
        <f>IFERROR(__xludf.DUMMYFUNCTION("""COMPUTED_VALUE"""),42747.90514842375)</f>
        <v>42747.90515</v>
      </c>
      <c r="C1532" s="1" t="str">
        <f>IFERROR(__xludf.DUMMYFUNCTION("""COMPUTED_VALUE"""),"treatment")</f>
        <v>treatment</v>
      </c>
      <c r="D1532" s="1" t="str">
        <f>IFERROR(__xludf.DUMMYFUNCTION("""COMPUTED_VALUE"""),"new_page")</f>
        <v>new_page</v>
      </c>
      <c r="E1532" s="1">
        <f>IFERROR(__xludf.DUMMYFUNCTION("""COMPUTED_VALUE"""),0.0)</f>
        <v>0</v>
      </c>
    </row>
    <row r="1533">
      <c r="A1533" s="1">
        <f>IFERROR(__xludf.DUMMYFUNCTION("""COMPUTED_VALUE"""),638526.0)</f>
        <v>638526</v>
      </c>
      <c r="B1533" s="2">
        <f>IFERROR(__xludf.DUMMYFUNCTION("""COMPUTED_VALUE"""),42751.87537886735)</f>
        <v>42751.87538</v>
      </c>
      <c r="C1533" s="1" t="str">
        <f>IFERROR(__xludf.DUMMYFUNCTION("""COMPUTED_VALUE"""),"control")</f>
        <v>control</v>
      </c>
      <c r="D1533" s="1" t="str">
        <f>IFERROR(__xludf.DUMMYFUNCTION("""COMPUTED_VALUE"""),"old_page")</f>
        <v>old_page</v>
      </c>
      <c r="E1533" s="1">
        <f>IFERROR(__xludf.DUMMYFUNCTION("""COMPUTED_VALUE"""),0.0)</f>
        <v>0</v>
      </c>
    </row>
    <row r="1534">
      <c r="A1534" s="1">
        <f>IFERROR(__xludf.DUMMYFUNCTION("""COMPUTED_VALUE"""),699346.0)</f>
        <v>699346</v>
      </c>
      <c r="B1534" s="2">
        <f>IFERROR(__xludf.DUMMYFUNCTION("""COMPUTED_VALUE"""),42743.57809512225)</f>
        <v>42743.5781</v>
      </c>
      <c r="C1534" s="1" t="str">
        <f>IFERROR(__xludf.DUMMYFUNCTION("""COMPUTED_VALUE"""),"control")</f>
        <v>control</v>
      </c>
      <c r="D1534" s="1" t="str">
        <f>IFERROR(__xludf.DUMMYFUNCTION("""COMPUTED_VALUE"""),"old_page")</f>
        <v>old_page</v>
      </c>
      <c r="E1534" s="1">
        <f>IFERROR(__xludf.DUMMYFUNCTION("""COMPUTED_VALUE"""),0.0)</f>
        <v>0</v>
      </c>
    </row>
    <row r="1535">
      <c r="A1535" s="1">
        <f>IFERROR(__xludf.DUMMYFUNCTION("""COMPUTED_VALUE"""),777311.0)</f>
        <v>777311</v>
      </c>
      <c r="B1535" s="2">
        <f>IFERROR(__xludf.DUMMYFUNCTION("""COMPUTED_VALUE"""),42742.50190673543)</f>
        <v>42742.50191</v>
      </c>
      <c r="C1535" s="1" t="str">
        <f>IFERROR(__xludf.DUMMYFUNCTION("""COMPUTED_VALUE"""),"treatment")</f>
        <v>treatment</v>
      </c>
      <c r="D1535" s="1" t="str">
        <f>IFERROR(__xludf.DUMMYFUNCTION("""COMPUTED_VALUE"""),"new_page")</f>
        <v>new_page</v>
      </c>
      <c r="E1535" s="1">
        <f>IFERROR(__xludf.DUMMYFUNCTION("""COMPUTED_VALUE"""),0.0)</f>
        <v>0</v>
      </c>
    </row>
    <row r="1536">
      <c r="A1536" s="1">
        <f>IFERROR(__xludf.DUMMYFUNCTION("""COMPUTED_VALUE"""),722292.0)</f>
        <v>722292</v>
      </c>
      <c r="B1536" s="2">
        <f>IFERROR(__xludf.DUMMYFUNCTION("""COMPUTED_VALUE"""),42759.178584684814)</f>
        <v>42759.17858</v>
      </c>
      <c r="C1536" s="1" t="str">
        <f>IFERROR(__xludf.DUMMYFUNCTION("""COMPUTED_VALUE"""),"control")</f>
        <v>control</v>
      </c>
      <c r="D1536" s="1" t="str">
        <f>IFERROR(__xludf.DUMMYFUNCTION("""COMPUTED_VALUE"""),"old_page")</f>
        <v>old_page</v>
      </c>
      <c r="E1536" s="1">
        <f>IFERROR(__xludf.DUMMYFUNCTION("""COMPUTED_VALUE"""),0.0)</f>
        <v>0</v>
      </c>
    </row>
    <row r="1537">
      <c r="A1537" s="1">
        <f>IFERROR(__xludf.DUMMYFUNCTION("""COMPUTED_VALUE"""),781426.0)</f>
        <v>781426</v>
      </c>
      <c r="B1537" s="2">
        <f>IFERROR(__xludf.DUMMYFUNCTION("""COMPUTED_VALUE"""),42759.32955226955)</f>
        <v>42759.32955</v>
      </c>
      <c r="C1537" s="1" t="str">
        <f>IFERROR(__xludf.DUMMYFUNCTION("""COMPUTED_VALUE"""),"control")</f>
        <v>control</v>
      </c>
      <c r="D1537" s="1" t="str">
        <f>IFERROR(__xludf.DUMMYFUNCTION("""COMPUTED_VALUE"""),"old_page")</f>
        <v>old_page</v>
      </c>
      <c r="E1537" s="1">
        <f>IFERROR(__xludf.DUMMYFUNCTION("""COMPUTED_VALUE"""),0.0)</f>
        <v>0</v>
      </c>
    </row>
    <row r="1538">
      <c r="A1538" s="1">
        <f>IFERROR(__xludf.DUMMYFUNCTION("""COMPUTED_VALUE"""),686570.0)</f>
        <v>686570</v>
      </c>
      <c r="B1538" s="2">
        <f>IFERROR(__xludf.DUMMYFUNCTION("""COMPUTED_VALUE"""),42755.134223337234)</f>
        <v>42755.13422</v>
      </c>
      <c r="C1538" s="1" t="str">
        <f>IFERROR(__xludf.DUMMYFUNCTION("""COMPUTED_VALUE"""),"treatment")</f>
        <v>treatment</v>
      </c>
      <c r="D1538" s="1" t="str">
        <f>IFERROR(__xludf.DUMMYFUNCTION("""COMPUTED_VALUE"""),"new_page")</f>
        <v>new_page</v>
      </c>
      <c r="E1538" s="1">
        <f>IFERROR(__xludf.DUMMYFUNCTION("""COMPUTED_VALUE"""),0.0)</f>
        <v>0</v>
      </c>
    </row>
    <row r="1539">
      <c r="A1539" s="1">
        <f>IFERROR(__xludf.DUMMYFUNCTION("""COMPUTED_VALUE"""),938906.0)</f>
        <v>938906</v>
      </c>
      <c r="B1539" s="2">
        <f>IFERROR(__xludf.DUMMYFUNCTION("""COMPUTED_VALUE"""),42754.656161765946)</f>
        <v>42754.65616</v>
      </c>
      <c r="C1539" s="1" t="str">
        <f>IFERROR(__xludf.DUMMYFUNCTION("""COMPUTED_VALUE"""),"control")</f>
        <v>control</v>
      </c>
      <c r="D1539" s="1" t="str">
        <f>IFERROR(__xludf.DUMMYFUNCTION("""COMPUTED_VALUE"""),"old_page")</f>
        <v>old_page</v>
      </c>
      <c r="E1539" s="1">
        <f>IFERROR(__xludf.DUMMYFUNCTION("""COMPUTED_VALUE"""),1.0)</f>
        <v>1</v>
      </c>
    </row>
    <row r="1540">
      <c r="A1540" s="1">
        <f>IFERROR(__xludf.DUMMYFUNCTION("""COMPUTED_VALUE"""),832024.0)</f>
        <v>832024</v>
      </c>
      <c r="B1540" s="2">
        <f>IFERROR(__xludf.DUMMYFUNCTION("""COMPUTED_VALUE"""),42741.34735143681)</f>
        <v>42741.34735</v>
      </c>
      <c r="C1540" s="1" t="str">
        <f>IFERROR(__xludf.DUMMYFUNCTION("""COMPUTED_VALUE"""),"control")</f>
        <v>control</v>
      </c>
      <c r="D1540" s="1" t="str">
        <f>IFERROR(__xludf.DUMMYFUNCTION("""COMPUTED_VALUE"""),"old_page")</f>
        <v>old_page</v>
      </c>
      <c r="E1540" s="1">
        <f>IFERROR(__xludf.DUMMYFUNCTION("""COMPUTED_VALUE"""),0.0)</f>
        <v>0</v>
      </c>
    </row>
    <row r="1541">
      <c r="A1541" s="1">
        <f>IFERROR(__xludf.DUMMYFUNCTION("""COMPUTED_VALUE"""),924633.0)</f>
        <v>924633</v>
      </c>
      <c r="B1541" s="2">
        <f>IFERROR(__xludf.DUMMYFUNCTION("""COMPUTED_VALUE"""),42753.47266010956)</f>
        <v>42753.47266</v>
      </c>
      <c r="C1541" s="1" t="str">
        <f>IFERROR(__xludf.DUMMYFUNCTION("""COMPUTED_VALUE"""),"treatment")</f>
        <v>treatment</v>
      </c>
      <c r="D1541" s="1" t="str">
        <f>IFERROR(__xludf.DUMMYFUNCTION("""COMPUTED_VALUE"""),"new_page")</f>
        <v>new_page</v>
      </c>
      <c r="E1541" s="1">
        <f>IFERROR(__xludf.DUMMYFUNCTION("""COMPUTED_VALUE"""),0.0)</f>
        <v>0</v>
      </c>
    </row>
    <row r="1542">
      <c r="A1542" s="1">
        <f>IFERROR(__xludf.DUMMYFUNCTION("""COMPUTED_VALUE"""),819341.0)</f>
        <v>819341</v>
      </c>
      <c r="B1542" s="2">
        <f>IFERROR(__xludf.DUMMYFUNCTION("""COMPUTED_VALUE"""),42747.9899561511)</f>
        <v>42747.98996</v>
      </c>
      <c r="C1542" s="1" t="str">
        <f>IFERROR(__xludf.DUMMYFUNCTION("""COMPUTED_VALUE"""),"control")</f>
        <v>control</v>
      </c>
      <c r="D1542" s="1" t="str">
        <f>IFERROR(__xludf.DUMMYFUNCTION("""COMPUTED_VALUE"""),"old_page")</f>
        <v>old_page</v>
      </c>
      <c r="E1542" s="1">
        <f>IFERROR(__xludf.DUMMYFUNCTION("""COMPUTED_VALUE"""),0.0)</f>
        <v>0</v>
      </c>
    </row>
    <row r="1543">
      <c r="A1543" s="1">
        <f>IFERROR(__xludf.DUMMYFUNCTION("""COMPUTED_VALUE"""),921793.0)</f>
        <v>921793</v>
      </c>
      <c r="B1543" s="2">
        <f>IFERROR(__xludf.DUMMYFUNCTION("""COMPUTED_VALUE"""),42750.00669472696)</f>
        <v>42750.00669</v>
      </c>
      <c r="C1543" s="1" t="str">
        <f>IFERROR(__xludf.DUMMYFUNCTION("""COMPUTED_VALUE"""),"control")</f>
        <v>control</v>
      </c>
      <c r="D1543" s="1" t="str">
        <f>IFERROR(__xludf.DUMMYFUNCTION("""COMPUTED_VALUE"""),"old_page")</f>
        <v>old_page</v>
      </c>
      <c r="E1543" s="1">
        <f>IFERROR(__xludf.DUMMYFUNCTION("""COMPUTED_VALUE"""),1.0)</f>
        <v>1</v>
      </c>
    </row>
    <row r="1544">
      <c r="A1544" s="1">
        <f>IFERROR(__xludf.DUMMYFUNCTION("""COMPUTED_VALUE"""),743888.0)</f>
        <v>743888</v>
      </c>
      <c r="B1544" s="2">
        <f>IFERROR(__xludf.DUMMYFUNCTION("""COMPUTED_VALUE"""),42755.502770737396)</f>
        <v>42755.50277</v>
      </c>
      <c r="C1544" s="1" t="str">
        <f>IFERROR(__xludf.DUMMYFUNCTION("""COMPUTED_VALUE"""),"control")</f>
        <v>control</v>
      </c>
      <c r="D1544" s="1" t="str">
        <f>IFERROR(__xludf.DUMMYFUNCTION("""COMPUTED_VALUE"""),"old_page")</f>
        <v>old_page</v>
      </c>
      <c r="E1544" s="1">
        <f>IFERROR(__xludf.DUMMYFUNCTION("""COMPUTED_VALUE"""),0.0)</f>
        <v>0</v>
      </c>
    </row>
    <row r="1545">
      <c r="A1545" s="1">
        <f>IFERROR(__xludf.DUMMYFUNCTION("""COMPUTED_VALUE"""),709793.0)</f>
        <v>709793</v>
      </c>
      <c r="B1545" s="2">
        <f>IFERROR(__xludf.DUMMYFUNCTION("""COMPUTED_VALUE"""),42738.654437921155)</f>
        <v>42738.65444</v>
      </c>
      <c r="C1545" s="1" t="str">
        <f>IFERROR(__xludf.DUMMYFUNCTION("""COMPUTED_VALUE"""),"treatment")</f>
        <v>treatment</v>
      </c>
      <c r="D1545" s="1" t="str">
        <f>IFERROR(__xludf.DUMMYFUNCTION("""COMPUTED_VALUE"""),"new_page")</f>
        <v>new_page</v>
      </c>
      <c r="E1545" s="1">
        <f>IFERROR(__xludf.DUMMYFUNCTION("""COMPUTED_VALUE"""),0.0)</f>
        <v>0</v>
      </c>
    </row>
    <row r="1546">
      <c r="A1546" s="1">
        <f>IFERROR(__xludf.DUMMYFUNCTION("""COMPUTED_VALUE"""),829085.0)</f>
        <v>829085</v>
      </c>
      <c r="B1546" s="2">
        <f>IFERROR(__xludf.DUMMYFUNCTION("""COMPUTED_VALUE"""),42745.9097403686)</f>
        <v>42745.90974</v>
      </c>
      <c r="C1546" s="1" t="str">
        <f>IFERROR(__xludf.DUMMYFUNCTION("""COMPUTED_VALUE"""),"control")</f>
        <v>control</v>
      </c>
      <c r="D1546" s="1" t="str">
        <f>IFERROR(__xludf.DUMMYFUNCTION("""COMPUTED_VALUE"""),"old_page")</f>
        <v>old_page</v>
      </c>
      <c r="E1546" s="1">
        <f>IFERROR(__xludf.DUMMYFUNCTION("""COMPUTED_VALUE"""),0.0)</f>
        <v>0</v>
      </c>
    </row>
    <row r="1547">
      <c r="A1547" s="1">
        <f>IFERROR(__xludf.DUMMYFUNCTION("""COMPUTED_VALUE"""),649132.0)</f>
        <v>649132</v>
      </c>
      <c r="B1547" s="2">
        <f>IFERROR(__xludf.DUMMYFUNCTION("""COMPUTED_VALUE"""),42757.70970805205)</f>
        <v>42757.70971</v>
      </c>
      <c r="C1547" s="1" t="str">
        <f>IFERROR(__xludf.DUMMYFUNCTION("""COMPUTED_VALUE"""),"control")</f>
        <v>control</v>
      </c>
      <c r="D1547" s="1" t="str">
        <f>IFERROR(__xludf.DUMMYFUNCTION("""COMPUTED_VALUE"""),"old_page")</f>
        <v>old_page</v>
      </c>
      <c r="E1547" s="1">
        <f>IFERROR(__xludf.DUMMYFUNCTION("""COMPUTED_VALUE"""),0.0)</f>
        <v>0</v>
      </c>
    </row>
    <row r="1548">
      <c r="A1548" s="1">
        <f>IFERROR(__xludf.DUMMYFUNCTION("""COMPUTED_VALUE"""),809907.0)</f>
        <v>809907</v>
      </c>
      <c r="B1548" s="2">
        <f>IFERROR(__xludf.DUMMYFUNCTION("""COMPUTED_VALUE"""),42739.31039614164)</f>
        <v>42739.3104</v>
      </c>
      <c r="C1548" s="1" t="str">
        <f>IFERROR(__xludf.DUMMYFUNCTION("""COMPUTED_VALUE"""),"control")</f>
        <v>control</v>
      </c>
      <c r="D1548" s="1" t="str">
        <f>IFERROR(__xludf.DUMMYFUNCTION("""COMPUTED_VALUE"""),"old_page")</f>
        <v>old_page</v>
      </c>
      <c r="E1548" s="1">
        <f>IFERROR(__xludf.DUMMYFUNCTION("""COMPUTED_VALUE"""),0.0)</f>
        <v>0</v>
      </c>
    </row>
    <row r="1549">
      <c r="A1549" s="1">
        <f>IFERROR(__xludf.DUMMYFUNCTION("""COMPUTED_VALUE"""),917457.0)</f>
        <v>917457</v>
      </c>
      <c r="B1549" s="2">
        <f>IFERROR(__xludf.DUMMYFUNCTION("""COMPUTED_VALUE"""),42741.78765587855)</f>
        <v>42741.78766</v>
      </c>
      <c r="C1549" s="1" t="str">
        <f>IFERROR(__xludf.DUMMYFUNCTION("""COMPUTED_VALUE"""),"control")</f>
        <v>control</v>
      </c>
      <c r="D1549" s="1" t="str">
        <f>IFERROR(__xludf.DUMMYFUNCTION("""COMPUTED_VALUE"""),"old_page")</f>
        <v>old_page</v>
      </c>
      <c r="E1549" s="1">
        <f>IFERROR(__xludf.DUMMYFUNCTION("""COMPUTED_VALUE"""),0.0)</f>
        <v>0</v>
      </c>
    </row>
    <row r="1550">
      <c r="A1550" s="1">
        <f>IFERROR(__xludf.DUMMYFUNCTION("""COMPUTED_VALUE"""),855433.0)</f>
        <v>855433</v>
      </c>
      <c r="B1550" s="2">
        <f>IFERROR(__xludf.DUMMYFUNCTION("""COMPUTED_VALUE"""),42754.61152656518)</f>
        <v>42754.61153</v>
      </c>
      <c r="C1550" s="1" t="str">
        <f>IFERROR(__xludf.DUMMYFUNCTION("""COMPUTED_VALUE"""),"treatment")</f>
        <v>treatment</v>
      </c>
      <c r="D1550" s="1" t="str">
        <f>IFERROR(__xludf.DUMMYFUNCTION("""COMPUTED_VALUE"""),"new_page")</f>
        <v>new_page</v>
      </c>
      <c r="E1550" s="1">
        <f>IFERROR(__xludf.DUMMYFUNCTION("""COMPUTED_VALUE"""),0.0)</f>
        <v>0</v>
      </c>
    </row>
    <row r="1551">
      <c r="A1551" s="1">
        <f>IFERROR(__xludf.DUMMYFUNCTION("""COMPUTED_VALUE"""),860101.0)</f>
        <v>860101</v>
      </c>
      <c r="B1551" s="2">
        <f>IFERROR(__xludf.DUMMYFUNCTION("""COMPUTED_VALUE"""),42749.97676994475)</f>
        <v>42749.97677</v>
      </c>
      <c r="C1551" s="1" t="str">
        <f>IFERROR(__xludf.DUMMYFUNCTION("""COMPUTED_VALUE"""),"treatment")</f>
        <v>treatment</v>
      </c>
      <c r="D1551" s="1" t="str">
        <f>IFERROR(__xludf.DUMMYFUNCTION("""COMPUTED_VALUE"""),"new_page")</f>
        <v>new_page</v>
      </c>
      <c r="E1551" s="1">
        <f>IFERROR(__xludf.DUMMYFUNCTION("""COMPUTED_VALUE"""),1.0)</f>
        <v>1</v>
      </c>
    </row>
    <row r="1552">
      <c r="A1552" s="1">
        <f>IFERROR(__xludf.DUMMYFUNCTION("""COMPUTED_VALUE"""),714869.0)</f>
        <v>714869</v>
      </c>
      <c r="B1552" s="2">
        <f>IFERROR(__xludf.DUMMYFUNCTION("""COMPUTED_VALUE"""),42753.966658860176)</f>
        <v>42753.96666</v>
      </c>
      <c r="C1552" s="1" t="str">
        <f>IFERROR(__xludf.DUMMYFUNCTION("""COMPUTED_VALUE"""),"treatment")</f>
        <v>treatment</v>
      </c>
      <c r="D1552" s="1" t="str">
        <f>IFERROR(__xludf.DUMMYFUNCTION("""COMPUTED_VALUE"""),"new_page")</f>
        <v>new_page</v>
      </c>
      <c r="E1552" s="1">
        <f>IFERROR(__xludf.DUMMYFUNCTION("""COMPUTED_VALUE"""),0.0)</f>
        <v>0</v>
      </c>
    </row>
    <row r="1553">
      <c r="A1553" s="1">
        <f>IFERROR(__xludf.DUMMYFUNCTION("""COMPUTED_VALUE"""),838336.0)</f>
        <v>838336</v>
      </c>
      <c r="B1553" s="2">
        <f>IFERROR(__xludf.DUMMYFUNCTION("""COMPUTED_VALUE"""),42749.920420258124)</f>
        <v>42749.92042</v>
      </c>
      <c r="C1553" s="1" t="str">
        <f>IFERROR(__xludf.DUMMYFUNCTION("""COMPUTED_VALUE"""),"treatment")</f>
        <v>treatment</v>
      </c>
      <c r="D1553" s="1" t="str">
        <f>IFERROR(__xludf.DUMMYFUNCTION("""COMPUTED_VALUE"""),"old_page")</f>
        <v>old_page</v>
      </c>
      <c r="E1553" s="1">
        <f>IFERROR(__xludf.DUMMYFUNCTION("""COMPUTED_VALUE"""),0.0)</f>
        <v>0</v>
      </c>
    </row>
    <row r="1554">
      <c r="A1554" s="1">
        <f>IFERROR(__xludf.DUMMYFUNCTION("""COMPUTED_VALUE"""),774342.0)</f>
        <v>774342</v>
      </c>
      <c r="B1554" s="2">
        <f>IFERROR(__xludf.DUMMYFUNCTION("""COMPUTED_VALUE"""),42744.49938372073)</f>
        <v>42744.49938</v>
      </c>
      <c r="C1554" s="1" t="str">
        <f>IFERROR(__xludf.DUMMYFUNCTION("""COMPUTED_VALUE"""),"control")</f>
        <v>control</v>
      </c>
      <c r="D1554" s="1" t="str">
        <f>IFERROR(__xludf.DUMMYFUNCTION("""COMPUTED_VALUE"""),"old_page")</f>
        <v>old_page</v>
      </c>
      <c r="E1554" s="1">
        <f>IFERROR(__xludf.DUMMYFUNCTION("""COMPUTED_VALUE"""),1.0)</f>
        <v>1</v>
      </c>
    </row>
    <row r="1555">
      <c r="A1555" s="1">
        <f>IFERROR(__xludf.DUMMYFUNCTION("""COMPUTED_VALUE"""),892222.0)</f>
        <v>892222</v>
      </c>
      <c r="B1555" s="2">
        <f>IFERROR(__xludf.DUMMYFUNCTION("""COMPUTED_VALUE"""),42744.352531558296)</f>
        <v>42744.35253</v>
      </c>
      <c r="C1555" s="1" t="str">
        <f>IFERROR(__xludf.DUMMYFUNCTION("""COMPUTED_VALUE"""),"treatment")</f>
        <v>treatment</v>
      </c>
      <c r="D1555" s="1" t="str">
        <f>IFERROR(__xludf.DUMMYFUNCTION("""COMPUTED_VALUE"""),"new_page")</f>
        <v>new_page</v>
      </c>
      <c r="E1555" s="1">
        <f>IFERROR(__xludf.DUMMYFUNCTION("""COMPUTED_VALUE"""),0.0)</f>
        <v>0</v>
      </c>
    </row>
    <row r="1556">
      <c r="A1556" s="1">
        <f>IFERROR(__xludf.DUMMYFUNCTION("""COMPUTED_VALUE"""),803129.0)</f>
        <v>803129</v>
      </c>
      <c r="B1556" s="2">
        <f>IFERROR(__xludf.DUMMYFUNCTION("""COMPUTED_VALUE"""),42749.46882666881)</f>
        <v>42749.46883</v>
      </c>
      <c r="C1556" s="1" t="str">
        <f>IFERROR(__xludf.DUMMYFUNCTION("""COMPUTED_VALUE"""),"control")</f>
        <v>control</v>
      </c>
      <c r="D1556" s="1" t="str">
        <f>IFERROR(__xludf.DUMMYFUNCTION("""COMPUTED_VALUE"""),"old_page")</f>
        <v>old_page</v>
      </c>
      <c r="E1556" s="1">
        <f>IFERROR(__xludf.DUMMYFUNCTION("""COMPUTED_VALUE"""),0.0)</f>
        <v>0</v>
      </c>
    </row>
    <row r="1557">
      <c r="A1557" s="1">
        <f>IFERROR(__xludf.DUMMYFUNCTION("""COMPUTED_VALUE"""),690198.0)</f>
        <v>690198</v>
      </c>
      <c r="B1557" s="2">
        <f>IFERROR(__xludf.DUMMYFUNCTION("""COMPUTED_VALUE"""),42751.73274816958)</f>
        <v>42751.73275</v>
      </c>
      <c r="C1557" s="1" t="str">
        <f>IFERROR(__xludf.DUMMYFUNCTION("""COMPUTED_VALUE"""),"treatment")</f>
        <v>treatment</v>
      </c>
      <c r="D1557" s="1" t="str">
        <f>IFERROR(__xludf.DUMMYFUNCTION("""COMPUTED_VALUE"""),"new_page")</f>
        <v>new_page</v>
      </c>
      <c r="E1557" s="1">
        <f>IFERROR(__xludf.DUMMYFUNCTION("""COMPUTED_VALUE"""),0.0)</f>
        <v>0</v>
      </c>
    </row>
    <row r="1558">
      <c r="A1558" s="1">
        <f>IFERROR(__xludf.DUMMYFUNCTION("""COMPUTED_VALUE"""),648318.0)</f>
        <v>648318</v>
      </c>
      <c r="B1558" s="2">
        <f>IFERROR(__xludf.DUMMYFUNCTION("""COMPUTED_VALUE"""),42748.39217909052)</f>
        <v>42748.39218</v>
      </c>
      <c r="C1558" s="1" t="str">
        <f>IFERROR(__xludf.DUMMYFUNCTION("""COMPUTED_VALUE"""),"treatment")</f>
        <v>treatment</v>
      </c>
      <c r="D1558" s="1" t="str">
        <f>IFERROR(__xludf.DUMMYFUNCTION("""COMPUTED_VALUE"""),"new_page")</f>
        <v>new_page</v>
      </c>
      <c r="E1558" s="1">
        <f>IFERROR(__xludf.DUMMYFUNCTION("""COMPUTED_VALUE"""),0.0)</f>
        <v>0</v>
      </c>
    </row>
    <row r="1559">
      <c r="A1559" s="1">
        <f>IFERROR(__xludf.DUMMYFUNCTION("""COMPUTED_VALUE"""),861082.0)</f>
        <v>861082</v>
      </c>
      <c r="B1559" s="2">
        <f>IFERROR(__xludf.DUMMYFUNCTION("""COMPUTED_VALUE"""),42738.30251005912)</f>
        <v>42738.30251</v>
      </c>
      <c r="C1559" s="1" t="str">
        <f>IFERROR(__xludf.DUMMYFUNCTION("""COMPUTED_VALUE"""),"treatment")</f>
        <v>treatment</v>
      </c>
      <c r="D1559" s="1" t="str">
        <f>IFERROR(__xludf.DUMMYFUNCTION("""COMPUTED_VALUE"""),"new_page")</f>
        <v>new_page</v>
      </c>
      <c r="E1559" s="1">
        <f>IFERROR(__xludf.DUMMYFUNCTION("""COMPUTED_VALUE"""),0.0)</f>
        <v>0</v>
      </c>
    </row>
    <row r="1560">
      <c r="A1560" s="1">
        <f>IFERROR(__xludf.DUMMYFUNCTION("""COMPUTED_VALUE"""),937909.0)</f>
        <v>937909</v>
      </c>
      <c r="B1560" s="2">
        <f>IFERROR(__xludf.DUMMYFUNCTION("""COMPUTED_VALUE"""),42758.2565417416)</f>
        <v>42758.25654</v>
      </c>
      <c r="C1560" s="1" t="str">
        <f>IFERROR(__xludf.DUMMYFUNCTION("""COMPUTED_VALUE"""),"treatment")</f>
        <v>treatment</v>
      </c>
      <c r="D1560" s="1" t="str">
        <f>IFERROR(__xludf.DUMMYFUNCTION("""COMPUTED_VALUE"""),"new_page")</f>
        <v>new_page</v>
      </c>
      <c r="E1560" s="1">
        <f>IFERROR(__xludf.DUMMYFUNCTION("""COMPUTED_VALUE"""),0.0)</f>
        <v>0</v>
      </c>
    </row>
    <row r="1561">
      <c r="A1561" s="1">
        <f>IFERROR(__xludf.DUMMYFUNCTION("""COMPUTED_VALUE"""),652576.0)</f>
        <v>652576</v>
      </c>
      <c r="B1561" s="2">
        <f>IFERROR(__xludf.DUMMYFUNCTION("""COMPUTED_VALUE"""),42752.25219418706)</f>
        <v>42752.25219</v>
      </c>
      <c r="C1561" s="1" t="str">
        <f>IFERROR(__xludf.DUMMYFUNCTION("""COMPUTED_VALUE"""),"control")</f>
        <v>control</v>
      </c>
      <c r="D1561" s="1" t="str">
        <f>IFERROR(__xludf.DUMMYFUNCTION("""COMPUTED_VALUE"""),"old_page")</f>
        <v>old_page</v>
      </c>
      <c r="E1561" s="1">
        <f>IFERROR(__xludf.DUMMYFUNCTION("""COMPUTED_VALUE"""),0.0)</f>
        <v>0</v>
      </c>
    </row>
    <row r="1562">
      <c r="A1562" s="1">
        <f>IFERROR(__xludf.DUMMYFUNCTION("""COMPUTED_VALUE"""),846477.0)</f>
        <v>846477</v>
      </c>
      <c r="B1562" s="2">
        <f>IFERROR(__xludf.DUMMYFUNCTION("""COMPUTED_VALUE"""),42757.79982284328)</f>
        <v>42757.79982</v>
      </c>
      <c r="C1562" s="1" t="str">
        <f>IFERROR(__xludf.DUMMYFUNCTION("""COMPUTED_VALUE"""),"treatment")</f>
        <v>treatment</v>
      </c>
      <c r="D1562" s="1" t="str">
        <f>IFERROR(__xludf.DUMMYFUNCTION("""COMPUTED_VALUE"""),"new_page")</f>
        <v>new_page</v>
      </c>
      <c r="E1562" s="1">
        <f>IFERROR(__xludf.DUMMYFUNCTION("""COMPUTED_VALUE"""),0.0)</f>
        <v>0</v>
      </c>
    </row>
    <row r="1563">
      <c r="A1563" s="1">
        <f>IFERROR(__xludf.DUMMYFUNCTION("""COMPUTED_VALUE"""),919139.0)</f>
        <v>919139</v>
      </c>
      <c r="B1563" s="2">
        <f>IFERROR(__xludf.DUMMYFUNCTION("""COMPUTED_VALUE"""),42738.83344924256)</f>
        <v>42738.83345</v>
      </c>
      <c r="C1563" s="1" t="str">
        <f>IFERROR(__xludf.DUMMYFUNCTION("""COMPUTED_VALUE"""),"treatment")</f>
        <v>treatment</v>
      </c>
      <c r="D1563" s="1" t="str">
        <f>IFERROR(__xludf.DUMMYFUNCTION("""COMPUTED_VALUE"""),"new_page")</f>
        <v>new_page</v>
      </c>
      <c r="E1563" s="1">
        <f>IFERROR(__xludf.DUMMYFUNCTION("""COMPUTED_VALUE"""),1.0)</f>
        <v>1</v>
      </c>
    </row>
    <row r="1564">
      <c r="A1564" s="1">
        <f>IFERROR(__xludf.DUMMYFUNCTION("""COMPUTED_VALUE"""),777300.0)</f>
        <v>777300</v>
      </c>
      <c r="B1564" s="2">
        <f>IFERROR(__xludf.DUMMYFUNCTION("""COMPUTED_VALUE"""),42741.62852983243)</f>
        <v>42741.62853</v>
      </c>
      <c r="C1564" s="1" t="str">
        <f>IFERROR(__xludf.DUMMYFUNCTION("""COMPUTED_VALUE"""),"treatment")</f>
        <v>treatment</v>
      </c>
      <c r="D1564" s="1" t="str">
        <f>IFERROR(__xludf.DUMMYFUNCTION("""COMPUTED_VALUE"""),"new_page")</f>
        <v>new_page</v>
      </c>
      <c r="E1564" s="1">
        <f>IFERROR(__xludf.DUMMYFUNCTION("""COMPUTED_VALUE"""),0.0)</f>
        <v>0</v>
      </c>
    </row>
    <row r="1565">
      <c r="A1565" s="1">
        <f>IFERROR(__xludf.DUMMYFUNCTION("""COMPUTED_VALUE"""),639172.0)</f>
        <v>639172</v>
      </c>
      <c r="B1565" s="2">
        <f>IFERROR(__xludf.DUMMYFUNCTION("""COMPUTED_VALUE"""),42742.06700400124)</f>
        <v>42742.067</v>
      </c>
      <c r="C1565" s="1" t="str">
        <f>IFERROR(__xludf.DUMMYFUNCTION("""COMPUTED_VALUE"""),"control")</f>
        <v>control</v>
      </c>
      <c r="D1565" s="1" t="str">
        <f>IFERROR(__xludf.DUMMYFUNCTION("""COMPUTED_VALUE"""),"old_page")</f>
        <v>old_page</v>
      </c>
      <c r="E1565" s="1">
        <f>IFERROR(__xludf.DUMMYFUNCTION("""COMPUTED_VALUE"""),0.0)</f>
        <v>0</v>
      </c>
    </row>
    <row r="1566">
      <c r="A1566" s="1">
        <f>IFERROR(__xludf.DUMMYFUNCTION("""COMPUTED_VALUE"""),678238.0)</f>
        <v>678238</v>
      </c>
      <c r="B1566" s="2">
        <f>IFERROR(__xludf.DUMMYFUNCTION("""COMPUTED_VALUE"""),42759.31957754863)</f>
        <v>42759.31958</v>
      </c>
      <c r="C1566" s="1" t="str">
        <f>IFERROR(__xludf.DUMMYFUNCTION("""COMPUTED_VALUE"""),"control")</f>
        <v>control</v>
      </c>
      <c r="D1566" s="1" t="str">
        <f>IFERROR(__xludf.DUMMYFUNCTION("""COMPUTED_VALUE"""),"old_page")</f>
        <v>old_page</v>
      </c>
      <c r="E1566" s="1">
        <f>IFERROR(__xludf.DUMMYFUNCTION("""COMPUTED_VALUE"""),1.0)</f>
        <v>1</v>
      </c>
    </row>
    <row r="1567">
      <c r="A1567" s="1">
        <f>IFERROR(__xludf.DUMMYFUNCTION("""COMPUTED_VALUE"""),918016.0)</f>
        <v>918016</v>
      </c>
      <c r="B1567" s="2">
        <f>IFERROR(__xludf.DUMMYFUNCTION("""COMPUTED_VALUE"""),42757.20512288654)</f>
        <v>42757.20512</v>
      </c>
      <c r="C1567" s="1" t="str">
        <f>IFERROR(__xludf.DUMMYFUNCTION("""COMPUTED_VALUE"""),"control")</f>
        <v>control</v>
      </c>
      <c r="D1567" s="1" t="str">
        <f>IFERROR(__xludf.DUMMYFUNCTION("""COMPUTED_VALUE"""),"old_page")</f>
        <v>old_page</v>
      </c>
      <c r="E1567" s="1">
        <f>IFERROR(__xludf.DUMMYFUNCTION("""COMPUTED_VALUE"""),0.0)</f>
        <v>0</v>
      </c>
    </row>
    <row r="1568">
      <c r="A1568" s="1">
        <f>IFERROR(__xludf.DUMMYFUNCTION("""COMPUTED_VALUE"""),808323.0)</f>
        <v>808323</v>
      </c>
      <c r="B1568" s="2">
        <f>IFERROR(__xludf.DUMMYFUNCTION("""COMPUTED_VALUE"""),42755.53040973163)</f>
        <v>42755.53041</v>
      </c>
      <c r="C1568" s="1" t="str">
        <f>IFERROR(__xludf.DUMMYFUNCTION("""COMPUTED_VALUE"""),"treatment")</f>
        <v>treatment</v>
      </c>
      <c r="D1568" s="1" t="str">
        <f>IFERROR(__xludf.DUMMYFUNCTION("""COMPUTED_VALUE"""),"new_page")</f>
        <v>new_page</v>
      </c>
      <c r="E1568" s="1">
        <f>IFERROR(__xludf.DUMMYFUNCTION("""COMPUTED_VALUE"""),0.0)</f>
        <v>0</v>
      </c>
    </row>
    <row r="1569">
      <c r="A1569" s="1">
        <f>IFERROR(__xludf.DUMMYFUNCTION("""COMPUTED_VALUE"""),881752.0)</f>
        <v>881752</v>
      </c>
      <c r="B1569" s="2">
        <f>IFERROR(__xludf.DUMMYFUNCTION("""COMPUTED_VALUE"""),42738.87654327784)</f>
        <v>42738.87654</v>
      </c>
      <c r="C1569" s="1" t="str">
        <f>IFERROR(__xludf.DUMMYFUNCTION("""COMPUTED_VALUE"""),"control")</f>
        <v>control</v>
      </c>
      <c r="D1569" s="1" t="str">
        <f>IFERROR(__xludf.DUMMYFUNCTION("""COMPUTED_VALUE"""),"old_page")</f>
        <v>old_page</v>
      </c>
      <c r="E1569" s="1">
        <f>IFERROR(__xludf.DUMMYFUNCTION("""COMPUTED_VALUE"""),0.0)</f>
        <v>0</v>
      </c>
    </row>
    <row r="1570">
      <c r="A1570" s="1">
        <f>IFERROR(__xludf.DUMMYFUNCTION("""COMPUTED_VALUE"""),714336.0)</f>
        <v>714336</v>
      </c>
      <c r="B1570" s="2">
        <f>IFERROR(__xludf.DUMMYFUNCTION("""COMPUTED_VALUE"""),42743.03596547143)</f>
        <v>42743.03597</v>
      </c>
      <c r="C1570" s="1" t="str">
        <f>IFERROR(__xludf.DUMMYFUNCTION("""COMPUTED_VALUE"""),"control")</f>
        <v>control</v>
      </c>
      <c r="D1570" s="1" t="str">
        <f>IFERROR(__xludf.DUMMYFUNCTION("""COMPUTED_VALUE"""),"old_page")</f>
        <v>old_page</v>
      </c>
      <c r="E1570" s="1">
        <f>IFERROR(__xludf.DUMMYFUNCTION("""COMPUTED_VALUE"""),0.0)</f>
        <v>0</v>
      </c>
    </row>
    <row r="1571">
      <c r="A1571" s="1">
        <f>IFERROR(__xludf.DUMMYFUNCTION("""COMPUTED_VALUE"""),816844.0)</f>
        <v>816844</v>
      </c>
      <c r="B1571" s="2">
        <f>IFERROR(__xludf.DUMMYFUNCTION("""COMPUTED_VALUE"""),42746.640297444435)</f>
        <v>42746.6403</v>
      </c>
      <c r="C1571" s="1" t="str">
        <f>IFERROR(__xludf.DUMMYFUNCTION("""COMPUTED_VALUE"""),"control")</f>
        <v>control</v>
      </c>
      <c r="D1571" s="1" t="str">
        <f>IFERROR(__xludf.DUMMYFUNCTION("""COMPUTED_VALUE"""),"old_page")</f>
        <v>old_page</v>
      </c>
      <c r="E1571" s="1">
        <f>IFERROR(__xludf.DUMMYFUNCTION("""COMPUTED_VALUE"""),0.0)</f>
        <v>0</v>
      </c>
    </row>
    <row r="1572">
      <c r="A1572" s="1">
        <f>IFERROR(__xludf.DUMMYFUNCTION("""COMPUTED_VALUE"""),828924.0)</f>
        <v>828924</v>
      </c>
      <c r="B1572" s="2">
        <f>IFERROR(__xludf.DUMMYFUNCTION("""COMPUTED_VALUE"""),42745.230991470984)</f>
        <v>42745.23099</v>
      </c>
      <c r="C1572" s="1" t="str">
        <f>IFERROR(__xludf.DUMMYFUNCTION("""COMPUTED_VALUE"""),"treatment")</f>
        <v>treatment</v>
      </c>
      <c r="D1572" s="1" t="str">
        <f>IFERROR(__xludf.DUMMYFUNCTION("""COMPUTED_VALUE"""),"new_page")</f>
        <v>new_page</v>
      </c>
      <c r="E1572" s="1">
        <f>IFERROR(__xludf.DUMMYFUNCTION("""COMPUTED_VALUE"""),0.0)</f>
        <v>0</v>
      </c>
    </row>
    <row r="1573">
      <c r="A1573" s="1">
        <f>IFERROR(__xludf.DUMMYFUNCTION("""COMPUTED_VALUE"""),651303.0)</f>
        <v>651303</v>
      </c>
      <c r="B1573" s="2">
        <f>IFERROR(__xludf.DUMMYFUNCTION("""COMPUTED_VALUE"""),42743.50359217667)</f>
        <v>42743.50359</v>
      </c>
      <c r="C1573" s="1" t="str">
        <f>IFERROR(__xludf.DUMMYFUNCTION("""COMPUTED_VALUE"""),"control")</f>
        <v>control</v>
      </c>
      <c r="D1573" s="1" t="str">
        <f>IFERROR(__xludf.DUMMYFUNCTION("""COMPUTED_VALUE"""),"old_page")</f>
        <v>old_page</v>
      </c>
      <c r="E1573" s="1">
        <f>IFERROR(__xludf.DUMMYFUNCTION("""COMPUTED_VALUE"""),0.0)</f>
        <v>0</v>
      </c>
    </row>
    <row r="1574">
      <c r="A1574" s="1">
        <f>IFERROR(__xludf.DUMMYFUNCTION("""COMPUTED_VALUE"""),849112.0)</f>
        <v>849112</v>
      </c>
      <c r="B1574" s="2">
        <f>IFERROR(__xludf.DUMMYFUNCTION("""COMPUTED_VALUE"""),42752.03495672471)</f>
        <v>42752.03496</v>
      </c>
      <c r="C1574" s="1" t="str">
        <f>IFERROR(__xludf.DUMMYFUNCTION("""COMPUTED_VALUE"""),"treatment")</f>
        <v>treatment</v>
      </c>
      <c r="D1574" s="1" t="str">
        <f>IFERROR(__xludf.DUMMYFUNCTION("""COMPUTED_VALUE"""),"new_page")</f>
        <v>new_page</v>
      </c>
      <c r="E1574" s="1">
        <f>IFERROR(__xludf.DUMMYFUNCTION("""COMPUTED_VALUE"""),0.0)</f>
        <v>0</v>
      </c>
    </row>
    <row r="1575">
      <c r="A1575" s="1">
        <f>IFERROR(__xludf.DUMMYFUNCTION("""COMPUTED_VALUE"""),788307.0)</f>
        <v>788307</v>
      </c>
      <c r="B1575" s="2">
        <f>IFERROR(__xludf.DUMMYFUNCTION("""COMPUTED_VALUE"""),42750.61845198547)</f>
        <v>42750.61845</v>
      </c>
      <c r="C1575" s="1" t="str">
        <f>IFERROR(__xludf.DUMMYFUNCTION("""COMPUTED_VALUE"""),"treatment")</f>
        <v>treatment</v>
      </c>
      <c r="D1575" s="1" t="str">
        <f>IFERROR(__xludf.DUMMYFUNCTION("""COMPUTED_VALUE"""),"new_page")</f>
        <v>new_page</v>
      </c>
      <c r="E1575" s="1">
        <f>IFERROR(__xludf.DUMMYFUNCTION("""COMPUTED_VALUE"""),0.0)</f>
        <v>0</v>
      </c>
    </row>
    <row r="1576">
      <c r="A1576" s="1">
        <f>IFERROR(__xludf.DUMMYFUNCTION("""COMPUTED_VALUE"""),697568.0)</f>
        <v>697568</v>
      </c>
      <c r="B1576" s="2">
        <f>IFERROR(__xludf.DUMMYFUNCTION("""COMPUTED_VALUE"""),42743.15513027375)</f>
        <v>42743.15513</v>
      </c>
      <c r="C1576" s="1" t="str">
        <f>IFERROR(__xludf.DUMMYFUNCTION("""COMPUTED_VALUE"""),"control")</f>
        <v>control</v>
      </c>
      <c r="D1576" s="1" t="str">
        <f>IFERROR(__xludf.DUMMYFUNCTION("""COMPUTED_VALUE"""),"old_page")</f>
        <v>old_page</v>
      </c>
      <c r="E1576" s="1">
        <f>IFERROR(__xludf.DUMMYFUNCTION("""COMPUTED_VALUE"""),0.0)</f>
        <v>0</v>
      </c>
    </row>
    <row r="1577">
      <c r="A1577" s="1">
        <f>IFERROR(__xludf.DUMMYFUNCTION("""COMPUTED_VALUE"""),744088.0)</f>
        <v>744088</v>
      </c>
      <c r="B1577" s="2">
        <f>IFERROR(__xludf.DUMMYFUNCTION("""COMPUTED_VALUE"""),42758.87512305294)</f>
        <v>42758.87512</v>
      </c>
      <c r="C1577" s="1" t="str">
        <f>IFERROR(__xludf.DUMMYFUNCTION("""COMPUTED_VALUE"""),"control")</f>
        <v>control</v>
      </c>
      <c r="D1577" s="1" t="str">
        <f>IFERROR(__xludf.DUMMYFUNCTION("""COMPUTED_VALUE"""),"old_page")</f>
        <v>old_page</v>
      </c>
      <c r="E1577" s="1">
        <f>IFERROR(__xludf.DUMMYFUNCTION("""COMPUTED_VALUE"""),0.0)</f>
        <v>0</v>
      </c>
    </row>
    <row r="1578">
      <c r="A1578" s="1">
        <f>IFERROR(__xludf.DUMMYFUNCTION("""COMPUTED_VALUE"""),761195.0)</f>
        <v>761195</v>
      </c>
      <c r="B1578" s="2">
        <f>IFERROR(__xludf.DUMMYFUNCTION("""COMPUTED_VALUE"""),42750.84882717479)</f>
        <v>42750.84883</v>
      </c>
      <c r="C1578" s="1" t="str">
        <f>IFERROR(__xludf.DUMMYFUNCTION("""COMPUTED_VALUE"""),"control")</f>
        <v>control</v>
      </c>
      <c r="D1578" s="1" t="str">
        <f>IFERROR(__xludf.DUMMYFUNCTION("""COMPUTED_VALUE"""),"old_page")</f>
        <v>old_page</v>
      </c>
      <c r="E1578" s="1">
        <f>IFERROR(__xludf.DUMMYFUNCTION("""COMPUTED_VALUE"""),0.0)</f>
        <v>0</v>
      </c>
    </row>
    <row r="1579">
      <c r="A1579" s="1">
        <f>IFERROR(__xludf.DUMMYFUNCTION("""COMPUTED_VALUE"""),934774.0)</f>
        <v>934774</v>
      </c>
      <c r="B1579" s="2">
        <f>IFERROR(__xludf.DUMMYFUNCTION("""COMPUTED_VALUE"""),42754.25889396232)</f>
        <v>42754.25889</v>
      </c>
      <c r="C1579" s="1" t="str">
        <f>IFERROR(__xludf.DUMMYFUNCTION("""COMPUTED_VALUE"""),"treatment")</f>
        <v>treatment</v>
      </c>
      <c r="D1579" s="1" t="str">
        <f>IFERROR(__xludf.DUMMYFUNCTION("""COMPUTED_VALUE"""),"new_page")</f>
        <v>new_page</v>
      </c>
      <c r="E1579" s="1">
        <f>IFERROR(__xludf.DUMMYFUNCTION("""COMPUTED_VALUE"""),0.0)</f>
        <v>0</v>
      </c>
    </row>
    <row r="1580">
      <c r="A1580" s="1">
        <f>IFERROR(__xludf.DUMMYFUNCTION("""COMPUTED_VALUE"""),664200.0)</f>
        <v>664200</v>
      </c>
      <c r="B1580" s="2">
        <f>IFERROR(__xludf.DUMMYFUNCTION("""COMPUTED_VALUE"""),42738.24805176192)</f>
        <v>42738.24805</v>
      </c>
      <c r="C1580" s="1" t="str">
        <f>IFERROR(__xludf.DUMMYFUNCTION("""COMPUTED_VALUE"""),"treatment")</f>
        <v>treatment</v>
      </c>
      <c r="D1580" s="1" t="str">
        <f>IFERROR(__xludf.DUMMYFUNCTION("""COMPUTED_VALUE"""),"new_page")</f>
        <v>new_page</v>
      </c>
      <c r="E1580" s="1">
        <f>IFERROR(__xludf.DUMMYFUNCTION("""COMPUTED_VALUE"""),0.0)</f>
        <v>0</v>
      </c>
    </row>
    <row r="1581">
      <c r="A1581" s="1">
        <f>IFERROR(__xludf.DUMMYFUNCTION("""COMPUTED_VALUE"""),713214.0)</f>
        <v>713214</v>
      </c>
      <c r="B1581" s="2">
        <f>IFERROR(__xludf.DUMMYFUNCTION("""COMPUTED_VALUE"""),42740.396764443794)</f>
        <v>42740.39676</v>
      </c>
      <c r="C1581" s="1" t="str">
        <f>IFERROR(__xludf.DUMMYFUNCTION("""COMPUTED_VALUE"""),"control")</f>
        <v>control</v>
      </c>
      <c r="D1581" s="1" t="str">
        <f>IFERROR(__xludf.DUMMYFUNCTION("""COMPUTED_VALUE"""),"old_page")</f>
        <v>old_page</v>
      </c>
      <c r="E1581" s="1">
        <f>IFERROR(__xludf.DUMMYFUNCTION("""COMPUTED_VALUE"""),0.0)</f>
        <v>0</v>
      </c>
    </row>
    <row r="1582">
      <c r="A1582" s="1">
        <f>IFERROR(__xludf.DUMMYFUNCTION("""COMPUTED_VALUE"""),811810.0)</f>
        <v>811810</v>
      </c>
      <c r="B1582" s="2">
        <f>IFERROR(__xludf.DUMMYFUNCTION("""COMPUTED_VALUE"""),42750.86428506437)</f>
        <v>42750.86429</v>
      </c>
      <c r="C1582" s="1" t="str">
        <f>IFERROR(__xludf.DUMMYFUNCTION("""COMPUTED_VALUE"""),"control")</f>
        <v>control</v>
      </c>
      <c r="D1582" s="1" t="str">
        <f>IFERROR(__xludf.DUMMYFUNCTION("""COMPUTED_VALUE"""),"old_page")</f>
        <v>old_page</v>
      </c>
      <c r="E1582" s="1">
        <f>IFERROR(__xludf.DUMMYFUNCTION("""COMPUTED_VALUE"""),0.0)</f>
        <v>0</v>
      </c>
    </row>
    <row r="1583">
      <c r="A1583" s="1">
        <f>IFERROR(__xludf.DUMMYFUNCTION("""COMPUTED_VALUE"""),848110.0)</f>
        <v>848110</v>
      </c>
      <c r="B1583" s="2">
        <f>IFERROR(__xludf.DUMMYFUNCTION("""COMPUTED_VALUE"""),42744.06458983425)</f>
        <v>42744.06459</v>
      </c>
      <c r="C1583" s="1" t="str">
        <f>IFERROR(__xludf.DUMMYFUNCTION("""COMPUTED_VALUE"""),"control")</f>
        <v>control</v>
      </c>
      <c r="D1583" s="1" t="str">
        <f>IFERROR(__xludf.DUMMYFUNCTION("""COMPUTED_VALUE"""),"old_page")</f>
        <v>old_page</v>
      </c>
      <c r="E1583" s="1">
        <f>IFERROR(__xludf.DUMMYFUNCTION("""COMPUTED_VALUE"""),0.0)</f>
        <v>0</v>
      </c>
    </row>
    <row r="1584">
      <c r="A1584" s="1">
        <f>IFERROR(__xludf.DUMMYFUNCTION("""COMPUTED_VALUE"""),641963.0)</f>
        <v>641963</v>
      </c>
      <c r="B1584" s="2">
        <f>IFERROR(__xludf.DUMMYFUNCTION("""COMPUTED_VALUE"""),42743.43252404949)</f>
        <v>42743.43252</v>
      </c>
      <c r="C1584" s="1" t="str">
        <f>IFERROR(__xludf.DUMMYFUNCTION("""COMPUTED_VALUE"""),"treatment")</f>
        <v>treatment</v>
      </c>
      <c r="D1584" s="1" t="str">
        <f>IFERROR(__xludf.DUMMYFUNCTION("""COMPUTED_VALUE"""),"new_page")</f>
        <v>new_page</v>
      </c>
      <c r="E1584" s="1">
        <f>IFERROR(__xludf.DUMMYFUNCTION("""COMPUTED_VALUE"""),0.0)</f>
        <v>0</v>
      </c>
    </row>
    <row r="1585">
      <c r="A1585" s="1">
        <f>IFERROR(__xludf.DUMMYFUNCTION("""COMPUTED_VALUE"""),752339.0)</f>
        <v>752339</v>
      </c>
      <c r="B1585" s="2">
        <f>IFERROR(__xludf.DUMMYFUNCTION("""COMPUTED_VALUE"""),42754.04269603408)</f>
        <v>42754.0427</v>
      </c>
      <c r="C1585" s="1" t="str">
        <f>IFERROR(__xludf.DUMMYFUNCTION("""COMPUTED_VALUE"""),"control")</f>
        <v>control</v>
      </c>
      <c r="D1585" s="1" t="str">
        <f>IFERROR(__xludf.DUMMYFUNCTION("""COMPUTED_VALUE"""),"old_page")</f>
        <v>old_page</v>
      </c>
      <c r="E1585" s="1">
        <f>IFERROR(__xludf.DUMMYFUNCTION("""COMPUTED_VALUE"""),0.0)</f>
        <v>0</v>
      </c>
    </row>
    <row r="1586">
      <c r="A1586" s="1">
        <f>IFERROR(__xludf.DUMMYFUNCTION("""COMPUTED_VALUE"""),869608.0)</f>
        <v>869608</v>
      </c>
      <c r="B1586" s="2">
        <f>IFERROR(__xludf.DUMMYFUNCTION("""COMPUTED_VALUE"""),42749.120321199975)</f>
        <v>42749.12032</v>
      </c>
      <c r="C1586" s="1" t="str">
        <f>IFERROR(__xludf.DUMMYFUNCTION("""COMPUTED_VALUE"""),"treatment")</f>
        <v>treatment</v>
      </c>
      <c r="D1586" s="1" t="str">
        <f>IFERROR(__xludf.DUMMYFUNCTION("""COMPUTED_VALUE"""),"new_page")</f>
        <v>new_page</v>
      </c>
      <c r="E1586" s="1">
        <f>IFERROR(__xludf.DUMMYFUNCTION("""COMPUTED_VALUE"""),0.0)</f>
        <v>0</v>
      </c>
    </row>
    <row r="1587">
      <c r="A1587" s="1">
        <f>IFERROR(__xludf.DUMMYFUNCTION("""COMPUTED_VALUE"""),671694.0)</f>
        <v>671694</v>
      </c>
      <c r="B1587" s="2">
        <f>IFERROR(__xludf.DUMMYFUNCTION("""COMPUTED_VALUE"""),42752.06928564207)</f>
        <v>42752.06929</v>
      </c>
      <c r="C1587" s="1" t="str">
        <f>IFERROR(__xludf.DUMMYFUNCTION("""COMPUTED_VALUE"""),"treatment")</f>
        <v>treatment</v>
      </c>
      <c r="D1587" s="1" t="str">
        <f>IFERROR(__xludf.DUMMYFUNCTION("""COMPUTED_VALUE"""),"new_page")</f>
        <v>new_page</v>
      </c>
      <c r="E1587" s="1">
        <f>IFERROR(__xludf.DUMMYFUNCTION("""COMPUTED_VALUE"""),0.0)</f>
        <v>0</v>
      </c>
    </row>
    <row r="1588">
      <c r="A1588" s="1">
        <f>IFERROR(__xludf.DUMMYFUNCTION("""COMPUTED_VALUE"""),702193.0)</f>
        <v>702193</v>
      </c>
      <c r="B1588" s="2">
        <f>IFERROR(__xludf.DUMMYFUNCTION("""COMPUTED_VALUE"""),42745.756505161655)</f>
        <v>42745.75651</v>
      </c>
      <c r="C1588" s="1" t="str">
        <f>IFERROR(__xludf.DUMMYFUNCTION("""COMPUTED_VALUE"""),"treatment")</f>
        <v>treatment</v>
      </c>
      <c r="D1588" s="1" t="str">
        <f>IFERROR(__xludf.DUMMYFUNCTION("""COMPUTED_VALUE"""),"new_page")</f>
        <v>new_page</v>
      </c>
      <c r="E1588" s="1">
        <f>IFERROR(__xludf.DUMMYFUNCTION("""COMPUTED_VALUE"""),1.0)</f>
        <v>1</v>
      </c>
    </row>
    <row r="1589">
      <c r="A1589" s="1">
        <f>IFERROR(__xludf.DUMMYFUNCTION("""COMPUTED_VALUE"""),895797.0)</f>
        <v>895797</v>
      </c>
      <c r="B1589" s="2">
        <f>IFERROR(__xludf.DUMMYFUNCTION("""COMPUTED_VALUE"""),42743.99144317926)</f>
        <v>42743.99144</v>
      </c>
      <c r="C1589" s="1" t="str">
        <f>IFERROR(__xludf.DUMMYFUNCTION("""COMPUTED_VALUE"""),"treatment")</f>
        <v>treatment</v>
      </c>
      <c r="D1589" s="1" t="str">
        <f>IFERROR(__xludf.DUMMYFUNCTION("""COMPUTED_VALUE"""),"new_page")</f>
        <v>new_page</v>
      </c>
      <c r="E1589" s="1">
        <f>IFERROR(__xludf.DUMMYFUNCTION("""COMPUTED_VALUE"""),0.0)</f>
        <v>0</v>
      </c>
    </row>
    <row r="1590">
      <c r="A1590" s="1">
        <f>IFERROR(__xludf.DUMMYFUNCTION("""COMPUTED_VALUE"""),692694.0)</f>
        <v>692694</v>
      </c>
      <c r="B1590" s="2">
        <f>IFERROR(__xludf.DUMMYFUNCTION("""COMPUTED_VALUE"""),42757.33595496807)</f>
        <v>42757.33595</v>
      </c>
      <c r="C1590" s="1" t="str">
        <f>IFERROR(__xludf.DUMMYFUNCTION("""COMPUTED_VALUE"""),"control")</f>
        <v>control</v>
      </c>
      <c r="D1590" s="1" t="str">
        <f>IFERROR(__xludf.DUMMYFUNCTION("""COMPUTED_VALUE"""),"old_page")</f>
        <v>old_page</v>
      </c>
      <c r="E1590" s="1">
        <f>IFERROR(__xludf.DUMMYFUNCTION("""COMPUTED_VALUE"""),0.0)</f>
        <v>0</v>
      </c>
    </row>
    <row r="1591">
      <c r="A1591" s="1">
        <f>IFERROR(__xludf.DUMMYFUNCTION("""COMPUTED_VALUE"""),781905.0)</f>
        <v>781905</v>
      </c>
      <c r="B1591" s="2">
        <f>IFERROR(__xludf.DUMMYFUNCTION("""COMPUTED_VALUE"""),42754.39611939411)</f>
        <v>42754.39612</v>
      </c>
      <c r="C1591" s="1" t="str">
        <f>IFERROR(__xludf.DUMMYFUNCTION("""COMPUTED_VALUE"""),"control")</f>
        <v>control</v>
      </c>
      <c r="D1591" s="1" t="str">
        <f>IFERROR(__xludf.DUMMYFUNCTION("""COMPUTED_VALUE"""),"old_page")</f>
        <v>old_page</v>
      </c>
      <c r="E1591" s="1">
        <f>IFERROR(__xludf.DUMMYFUNCTION("""COMPUTED_VALUE"""),0.0)</f>
        <v>0</v>
      </c>
    </row>
    <row r="1592">
      <c r="A1592" s="1">
        <f>IFERROR(__xludf.DUMMYFUNCTION("""COMPUTED_VALUE"""),887403.0)</f>
        <v>887403</v>
      </c>
      <c r="B1592" s="2">
        <f>IFERROR(__xludf.DUMMYFUNCTION("""COMPUTED_VALUE"""),42744.01731475684)</f>
        <v>42744.01731</v>
      </c>
      <c r="C1592" s="1" t="str">
        <f>IFERROR(__xludf.DUMMYFUNCTION("""COMPUTED_VALUE"""),"control")</f>
        <v>control</v>
      </c>
      <c r="D1592" s="1" t="str">
        <f>IFERROR(__xludf.DUMMYFUNCTION("""COMPUTED_VALUE"""),"old_page")</f>
        <v>old_page</v>
      </c>
      <c r="E1592" s="1">
        <f>IFERROR(__xludf.DUMMYFUNCTION("""COMPUTED_VALUE"""),0.0)</f>
        <v>0</v>
      </c>
    </row>
    <row r="1593">
      <c r="A1593" s="1">
        <f>IFERROR(__xludf.DUMMYFUNCTION("""COMPUTED_VALUE"""),874023.0)</f>
        <v>874023</v>
      </c>
      <c r="B1593" s="2">
        <f>IFERROR(__xludf.DUMMYFUNCTION("""COMPUTED_VALUE"""),42740.48008665168)</f>
        <v>42740.48009</v>
      </c>
      <c r="C1593" s="1" t="str">
        <f>IFERROR(__xludf.DUMMYFUNCTION("""COMPUTED_VALUE"""),"treatment")</f>
        <v>treatment</v>
      </c>
      <c r="D1593" s="1" t="str">
        <f>IFERROR(__xludf.DUMMYFUNCTION("""COMPUTED_VALUE"""),"new_page")</f>
        <v>new_page</v>
      </c>
      <c r="E1593" s="1">
        <f>IFERROR(__xludf.DUMMYFUNCTION("""COMPUTED_VALUE"""),0.0)</f>
        <v>0</v>
      </c>
    </row>
    <row r="1594">
      <c r="A1594" s="1">
        <f>IFERROR(__xludf.DUMMYFUNCTION("""COMPUTED_VALUE"""),894307.0)</f>
        <v>894307</v>
      </c>
      <c r="B1594" s="2">
        <f>IFERROR(__xludf.DUMMYFUNCTION("""COMPUTED_VALUE"""),42759.52536269661)</f>
        <v>42759.52536</v>
      </c>
      <c r="C1594" s="1" t="str">
        <f>IFERROR(__xludf.DUMMYFUNCTION("""COMPUTED_VALUE"""),"control")</f>
        <v>control</v>
      </c>
      <c r="D1594" s="1" t="str">
        <f>IFERROR(__xludf.DUMMYFUNCTION("""COMPUTED_VALUE"""),"old_page")</f>
        <v>old_page</v>
      </c>
      <c r="E1594" s="1">
        <f>IFERROR(__xludf.DUMMYFUNCTION("""COMPUTED_VALUE"""),1.0)</f>
        <v>1</v>
      </c>
    </row>
    <row r="1595">
      <c r="A1595" s="1">
        <f>IFERROR(__xludf.DUMMYFUNCTION("""COMPUTED_VALUE"""),827392.0)</f>
        <v>827392</v>
      </c>
      <c r="B1595" s="2">
        <f>IFERROR(__xludf.DUMMYFUNCTION("""COMPUTED_VALUE"""),42746.33503395573)</f>
        <v>42746.33503</v>
      </c>
      <c r="C1595" s="1" t="str">
        <f>IFERROR(__xludf.DUMMYFUNCTION("""COMPUTED_VALUE"""),"control")</f>
        <v>control</v>
      </c>
      <c r="D1595" s="1" t="str">
        <f>IFERROR(__xludf.DUMMYFUNCTION("""COMPUTED_VALUE"""),"old_page")</f>
        <v>old_page</v>
      </c>
      <c r="E1595" s="1">
        <f>IFERROR(__xludf.DUMMYFUNCTION("""COMPUTED_VALUE"""),0.0)</f>
        <v>0</v>
      </c>
    </row>
    <row r="1596">
      <c r="A1596" s="1">
        <f>IFERROR(__xludf.DUMMYFUNCTION("""COMPUTED_VALUE"""),755414.0)</f>
        <v>755414</v>
      </c>
      <c r="B1596" s="2">
        <f>IFERROR(__xludf.DUMMYFUNCTION("""COMPUTED_VALUE"""),42744.99383657237)</f>
        <v>42744.99384</v>
      </c>
      <c r="C1596" s="1" t="str">
        <f>IFERROR(__xludf.DUMMYFUNCTION("""COMPUTED_VALUE"""),"treatment")</f>
        <v>treatment</v>
      </c>
      <c r="D1596" s="1" t="str">
        <f>IFERROR(__xludf.DUMMYFUNCTION("""COMPUTED_VALUE"""),"new_page")</f>
        <v>new_page</v>
      </c>
      <c r="E1596" s="1">
        <f>IFERROR(__xludf.DUMMYFUNCTION("""COMPUTED_VALUE"""),0.0)</f>
        <v>0</v>
      </c>
    </row>
    <row r="1597">
      <c r="A1597" s="1">
        <f>IFERROR(__xludf.DUMMYFUNCTION("""COMPUTED_VALUE"""),890196.0)</f>
        <v>890196</v>
      </c>
      <c r="B1597" s="2">
        <f>IFERROR(__xludf.DUMMYFUNCTION("""COMPUTED_VALUE"""),42755.06927869258)</f>
        <v>42755.06928</v>
      </c>
      <c r="C1597" s="1" t="str">
        <f>IFERROR(__xludf.DUMMYFUNCTION("""COMPUTED_VALUE"""),"control")</f>
        <v>control</v>
      </c>
      <c r="D1597" s="1" t="str">
        <f>IFERROR(__xludf.DUMMYFUNCTION("""COMPUTED_VALUE"""),"old_page")</f>
        <v>old_page</v>
      </c>
      <c r="E1597" s="1">
        <f>IFERROR(__xludf.DUMMYFUNCTION("""COMPUTED_VALUE"""),1.0)</f>
        <v>1</v>
      </c>
    </row>
    <row r="1598">
      <c r="A1598" s="1">
        <f>IFERROR(__xludf.DUMMYFUNCTION("""COMPUTED_VALUE"""),876353.0)</f>
        <v>876353</v>
      </c>
      <c r="B1598" s="2">
        <f>IFERROR(__xludf.DUMMYFUNCTION("""COMPUTED_VALUE"""),42748.47990301418)</f>
        <v>42748.4799</v>
      </c>
      <c r="C1598" s="1" t="str">
        <f>IFERROR(__xludf.DUMMYFUNCTION("""COMPUTED_VALUE"""),"treatment")</f>
        <v>treatment</v>
      </c>
      <c r="D1598" s="1" t="str">
        <f>IFERROR(__xludf.DUMMYFUNCTION("""COMPUTED_VALUE"""),"new_page")</f>
        <v>new_page</v>
      </c>
      <c r="E1598" s="1">
        <f>IFERROR(__xludf.DUMMYFUNCTION("""COMPUTED_VALUE"""),0.0)</f>
        <v>0</v>
      </c>
    </row>
    <row r="1599">
      <c r="A1599" s="1">
        <f>IFERROR(__xludf.DUMMYFUNCTION("""COMPUTED_VALUE"""),925362.0)</f>
        <v>925362</v>
      </c>
      <c r="B1599" s="2">
        <f>IFERROR(__xludf.DUMMYFUNCTION("""COMPUTED_VALUE"""),42739.75887415955)</f>
        <v>42739.75887</v>
      </c>
      <c r="C1599" s="1" t="str">
        <f>IFERROR(__xludf.DUMMYFUNCTION("""COMPUTED_VALUE"""),"control")</f>
        <v>control</v>
      </c>
      <c r="D1599" s="1" t="str">
        <f>IFERROR(__xludf.DUMMYFUNCTION("""COMPUTED_VALUE"""),"old_page")</f>
        <v>old_page</v>
      </c>
      <c r="E1599" s="1">
        <f>IFERROR(__xludf.DUMMYFUNCTION("""COMPUTED_VALUE"""),0.0)</f>
        <v>0</v>
      </c>
    </row>
    <row r="1600">
      <c r="A1600" s="1">
        <f>IFERROR(__xludf.DUMMYFUNCTION("""COMPUTED_VALUE"""),862907.0)</f>
        <v>862907</v>
      </c>
      <c r="B1600" s="2">
        <f>IFERROR(__xludf.DUMMYFUNCTION("""COMPUTED_VALUE"""),42738.08009189115)</f>
        <v>42738.08009</v>
      </c>
      <c r="C1600" s="1" t="str">
        <f>IFERROR(__xludf.DUMMYFUNCTION("""COMPUTED_VALUE"""),"control")</f>
        <v>control</v>
      </c>
      <c r="D1600" s="1" t="str">
        <f>IFERROR(__xludf.DUMMYFUNCTION("""COMPUTED_VALUE"""),"old_page")</f>
        <v>old_page</v>
      </c>
      <c r="E1600" s="1">
        <f>IFERROR(__xludf.DUMMYFUNCTION("""COMPUTED_VALUE"""),0.0)</f>
        <v>0</v>
      </c>
    </row>
    <row r="1601">
      <c r="A1601" s="1">
        <f>IFERROR(__xludf.DUMMYFUNCTION("""COMPUTED_VALUE"""),709297.0)</f>
        <v>709297</v>
      </c>
      <c r="B1601" s="2">
        <f>IFERROR(__xludf.DUMMYFUNCTION("""COMPUTED_VALUE"""),42749.145206739166)</f>
        <v>42749.14521</v>
      </c>
      <c r="C1601" s="1" t="str">
        <f>IFERROR(__xludf.DUMMYFUNCTION("""COMPUTED_VALUE"""),"treatment")</f>
        <v>treatment</v>
      </c>
      <c r="D1601" s="1" t="str">
        <f>IFERROR(__xludf.DUMMYFUNCTION("""COMPUTED_VALUE"""),"new_page")</f>
        <v>new_page</v>
      </c>
      <c r="E1601" s="1">
        <f>IFERROR(__xludf.DUMMYFUNCTION("""COMPUTED_VALUE"""),0.0)</f>
        <v>0</v>
      </c>
    </row>
    <row r="1602">
      <c r="A1602" s="1">
        <f>IFERROR(__xludf.DUMMYFUNCTION("""COMPUTED_VALUE"""),771987.0)</f>
        <v>771987</v>
      </c>
      <c r="B1602" s="2">
        <f>IFERROR(__xludf.DUMMYFUNCTION("""COMPUTED_VALUE"""),42743.359390778394)</f>
        <v>42743.35939</v>
      </c>
      <c r="C1602" s="1" t="str">
        <f>IFERROR(__xludf.DUMMYFUNCTION("""COMPUTED_VALUE"""),"control")</f>
        <v>control</v>
      </c>
      <c r="D1602" s="1" t="str">
        <f>IFERROR(__xludf.DUMMYFUNCTION("""COMPUTED_VALUE"""),"old_page")</f>
        <v>old_page</v>
      </c>
      <c r="E1602" s="1">
        <f>IFERROR(__xludf.DUMMYFUNCTION("""COMPUTED_VALUE"""),0.0)</f>
        <v>0</v>
      </c>
    </row>
    <row r="1603">
      <c r="A1603" s="1">
        <f>IFERROR(__xludf.DUMMYFUNCTION("""COMPUTED_VALUE"""),714132.0)</f>
        <v>714132</v>
      </c>
      <c r="B1603" s="2">
        <f>IFERROR(__xludf.DUMMYFUNCTION("""COMPUTED_VALUE"""),42743.229774644176)</f>
        <v>42743.22977</v>
      </c>
      <c r="C1603" s="1" t="str">
        <f>IFERROR(__xludf.DUMMYFUNCTION("""COMPUTED_VALUE"""),"treatment")</f>
        <v>treatment</v>
      </c>
      <c r="D1603" s="1" t="str">
        <f>IFERROR(__xludf.DUMMYFUNCTION("""COMPUTED_VALUE"""),"new_page")</f>
        <v>new_page</v>
      </c>
      <c r="E1603" s="1">
        <f>IFERROR(__xludf.DUMMYFUNCTION("""COMPUTED_VALUE"""),0.0)</f>
        <v>0</v>
      </c>
    </row>
    <row r="1604">
      <c r="A1604" s="1">
        <f>IFERROR(__xludf.DUMMYFUNCTION("""COMPUTED_VALUE"""),889175.0)</f>
        <v>889175</v>
      </c>
      <c r="B1604" s="2">
        <f>IFERROR(__xludf.DUMMYFUNCTION("""COMPUTED_VALUE"""),42747.75268393718)</f>
        <v>42747.75268</v>
      </c>
      <c r="C1604" s="1" t="str">
        <f>IFERROR(__xludf.DUMMYFUNCTION("""COMPUTED_VALUE"""),"control")</f>
        <v>control</v>
      </c>
      <c r="D1604" s="1" t="str">
        <f>IFERROR(__xludf.DUMMYFUNCTION("""COMPUTED_VALUE"""),"old_page")</f>
        <v>old_page</v>
      </c>
      <c r="E1604" s="1">
        <f>IFERROR(__xludf.DUMMYFUNCTION("""COMPUTED_VALUE"""),0.0)</f>
        <v>0</v>
      </c>
    </row>
    <row r="1605">
      <c r="A1605" s="1">
        <f>IFERROR(__xludf.DUMMYFUNCTION("""COMPUTED_VALUE"""),664763.0)</f>
        <v>664763</v>
      </c>
      <c r="B1605" s="2">
        <f>IFERROR(__xludf.DUMMYFUNCTION("""COMPUTED_VALUE"""),42746.26716895848)</f>
        <v>42746.26717</v>
      </c>
      <c r="C1605" s="1" t="str">
        <f>IFERROR(__xludf.DUMMYFUNCTION("""COMPUTED_VALUE"""),"control")</f>
        <v>control</v>
      </c>
      <c r="D1605" s="1" t="str">
        <f>IFERROR(__xludf.DUMMYFUNCTION("""COMPUTED_VALUE"""),"old_page")</f>
        <v>old_page</v>
      </c>
      <c r="E1605" s="1">
        <f>IFERROR(__xludf.DUMMYFUNCTION("""COMPUTED_VALUE"""),0.0)</f>
        <v>0</v>
      </c>
    </row>
    <row r="1606">
      <c r="A1606" s="1">
        <f>IFERROR(__xludf.DUMMYFUNCTION("""COMPUTED_VALUE"""),940165.0)</f>
        <v>940165</v>
      </c>
      <c r="B1606" s="2">
        <f>IFERROR(__xludf.DUMMYFUNCTION("""COMPUTED_VALUE"""),42744.30174960051)</f>
        <v>42744.30175</v>
      </c>
      <c r="C1606" s="1" t="str">
        <f>IFERROR(__xludf.DUMMYFUNCTION("""COMPUTED_VALUE"""),"treatment")</f>
        <v>treatment</v>
      </c>
      <c r="D1606" s="1" t="str">
        <f>IFERROR(__xludf.DUMMYFUNCTION("""COMPUTED_VALUE"""),"new_page")</f>
        <v>new_page</v>
      </c>
      <c r="E1606" s="1">
        <f>IFERROR(__xludf.DUMMYFUNCTION("""COMPUTED_VALUE"""),0.0)</f>
        <v>0</v>
      </c>
    </row>
    <row r="1607">
      <c r="A1607" s="1">
        <f>IFERROR(__xludf.DUMMYFUNCTION("""COMPUTED_VALUE"""),822950.0)</f>
        <v>822950</v>
      </c>
      <c r="B1607" s="2">
        <f>IFERROR(__xludf.DUMMYFUNCTION("""COMPUTED_VALUE"""),42756.16432076029)</f>
        <v>42756.16432</v>
      </c>
      <c r="C1607" s="1" t="str">
        <f>IFERROR(__xludf.DUMMYFUNCTION("""COMPUTED_VALUE"""),"treatment")</f>
        <v>treatment</v>
      </c>
      <c r="D1607" s="1" t="str">
        <f>IFERROR(__xludf.DUMMYFUNCTION("""COMPUTED_VALUE"""),"new_page")</f>
        <v>new_page</v>
      </c>
      <c r="E1607" s="1">
        <f>IFERROR(__xludf.DUMMYFUNCTION("""COMPUTED_VALUE"""),0.0)</f>
        <v>0</v>
      </c>
    </row>
    <row r="1608">
      <c r="A1608" s="1">
        <f>IFERROR(__xludf.DUMMYFUNCTION("""COMPUTED_VALUE"""),663780.0)</f>
        <v>663780</v>
      </c>
      <c r="B1608" s="2">
        <f>IFERROR(__xludf.DUMMYFUNCTION("""COMPUTED_VALUE"""),42743.4549034008)</f>
        <v>42743.4549</v>
      </c>
      <c r="C1608" s="1" t="str">
        <f>IFERROR(__xludf.DUMMYFUNCTION("""COMPUTED_VALUE"""),"control")</f>
        <v>control</v>
      </c>
      <c r="D1608" s="1" t="str">
        <f>IFERROR(__xludf.DUMMYFUNCTION("""COMPUTED_VALUE"""),"old_page")</f>
        <v>old_page</v>
      </c>
      <c r="E1608" s="1">
        <f>IFERROR(__xludf.DUMMYFUNCTION("""COMPUTED_VALUE"""),0.0)</f>
        <v>0</v>
      </c>
    </row>
    <row r="1609">
      <c r="A1609" s="1">
        <f>IFERROR(__xludf.DUMMYFUNCTION("""COMPUTED_VALUE"""),634989.0)</f>
        <v>634989</v>
      </c>
      <c r="B1609" s="2">
        <f>IFERROR(__xludf.DUMMYFUNCTION("""COMPUTED_VALUE"""),42740.3916185018)</f>
        <v>42740.39162</v>
      </c>
      <c r="C1609" s="1" t="str">
        <f>IFERROR(__xludf.DUMMYFUNCTION("""COMPUTED_VALUE"""),"treatment")</f>
        <v>treatment</v>
      </c>
      <c r="D1609" s="1" t="str">
        <f>IFERROR(__xludf.DUMMYFUNCTION("""COMPUTED_VALUE"""),"new_page")</f>
        <v>new_page</v>
      </c>
      <c r="E1609" s="1">
        <f>IFERROR(__xludf.DUMMYFUNCTION("""COMPUTED_VALUE"""),0.0)</f>
        <v>0</v>
      </c>
    </row>
    <row r="1610">
      <c r="A1610" s="1">
        <f>IFERROR(__xludf.DUMMYFUNCTION("""COMPUTED_VALUE"""),900503.0)</f>
        <v>900503</v>
      </c>
      <c r="B1610" s="2">
        <f>IFERROR(__xludf.DUMMYFUNCTION("""COMPUTED_VALUE"""),42741.37634806927)</f>
        <v>42741.37635</v>
      </c>
      <c r="C1610" s="1" t="str">
        <f>IFERROR(__xludf.DUMMYFUNCTION("""COMPUTED_VALUE"""),"control")</f>
        <v>control</v>
      </c>
      <c r="D1610" s="1" t="str">
        <f>IFERROR(__xludf.DUMMYFUNCTION("""COMPUTED_VALUE"""),"old_page")</f>
        <v>old_page</v>
      </c>
      <c r="E1610" s="1">
        <f>IFERROR(__xludf.DUMMYFUNCTION("""COMPUTED_VALUE"""),0.0)</f>
        <v>0</v>
      </c>
    </row>
    <row r="1611">
      <c r="A1611" s="1">
        <f>IFERROR(__xludf.DUMMYFUNCTION("""COMPUTED_VALUE"""),694006.0)</f>
        <v>694006</v>
      </c>
      <c r="B1611" s="2">
        <f>IFERROR(__xludf.DUMMYFUNCTION("""COMPUTED_VALUE"""),42746.54186267571)</f>
        <v>42746.54186</v>
      </c>
      <c r="C1611" s="1" t="str">
        <f>IFERROR(__xludf.DUMMYFUNCTION("""COMPUTED_VALUE"""),"control")</f>
        <v>control</v>
      </c>
      <c r="D1611" s="1" t="str">
        <f>IFERROR(__xludf.DUMMYFUNCTION("""COMPUTED_VALUE"""),"old_page")</f>
        <v>old_page</v>
      </c>
      <c r="E1611" s="1">
        <f>IFERROR(__xludf.DUMMYFUNCTION("""COMPUTED_VALUE"""),0.0)</f>
        <v>0</v>
      </c>
    </row>
    <row r="1612">
      <c r="A1612" s="1">
        <f>IFERROR(__xludf.DUMMYFUNCTION("""COMPUTED_VALUE"""),702652.0)</f>
        <v>702652</v>
      </c>
      <c r="B1612" s="2">
        <f>IFERROR(__xludf.DUMMYFUNCTION("""COMPUTED_VALUE"""),42756.6769590214)</f>
        <v>42756.67696</v>
      </c>
      <c r="C1612" s="1" t="str">
        <f>IFERROR(__xludf.DUMMYFUNCTION("""COMPUTED_VALUE"""),"control")</f>
        <v>control</v>
      </c>
      <c r="D1612" s="1" t="str">
        <f>IFERROR(__xludf.DUMMYFUNCTION("""COMPUTED_VALUE"""),"old_page")</f>
        <v>old_page</v>
      </c>
      <c r="E1612" s="1">
        <f>IFERROR(__xludf.DUMMYFUNCTION("""COMPUTED_VALUE"""),0.0)</f>
        <v>0</v>
      </c>
    </row>
    <row r="1613">
      <c r="A1613" s="1">
        <f>IFERROR(__xludf.DUMMYFUNCTION("""COMPUTED_VALUE"""),876671.0)</f>
        <v>876671</v>
      </c>
      <c r="B1613" s="2">
        <f>IFERROR(__xludf.DUMMYFUNCTION("""COMPUTED_VALUE"""),42741.3408481273)</f>
        <v>42741.34085</v>
      </c>
      <c r="C1613" s="1" t="str">
        <f>IFERROR(__xludf.DUMMYFUNCTION("""COMPUTED_VALUE"""),"treatment")</f>
        <v>treatment</v>
      </c>
      <c r="D1613" s="1" t="str">
        <f>IFERROR(__xludf.DUMMYFUNCTION("""COMPUTED_VALUE"""),"new_page")</f>
        <v>new_page</v>
      </c>
      <c r="E1613" s="1">
        <f>IFERROR(__xludf.DUMMYFUNCTION("""COMPUTED_VALUE"""),0.0)</f>
        <v>0</v>
      </c>
    </row>
    <row r="1614">
      <c r="A1614" s="1">
        <f>IFERROR(__xludf.DUMMYFUNCTION("""COMPUTED_VALUE"""),639820.0)</f>
        <v>639820</v>
      </c>
      <c r="B1614" s="2">
        <f>IFERROR(__xludf.DUMMYFUNCTION("""COMPUTED_VALUE"""),42742.88043573048)</f>
        <v>42742.88044</v>
      </c>
      <c r="C1614" s="1" t="str">
        <f>IFERROR(__xludf.DUMMYFUNCTION("""COMPUTED_VALUE"""),"treatment")</f>
        <v>treatment</v>
      </c>
      <c r="D1614" s="1" t="str">
        <f>IFERROR(__xludf.DUMMYFUNCTION("""COMPUTED_VALUE"""),"new_page")</f>
        <v>new_page</v>
      </c>
      <c r="E1614" s="1">
        <f>IFERROR(__xludf.DUMMYFUNCTION("""COMPUTED_VALUE"""),0.0)</f>
        <v>0</v>
      </c>
    </row>
    <row r="1615">
      <c r="A1615" s="1">
        <f>IFERROR(__xludf.DUMMYFUNCTION("""COMPUTED_VALUE"""),711088.0)</f>
        <v>711088</v>
      </c>
      <c r="B1615" s="2">
        <f>IFERROR(__xludf.DUMMYFUNCTION("""COMPUTED_VALUE"""),42753.300319519156)</f>
        <v>42753.30032</v>
      </c>
      <c r="C1615" s="1" t="str">
        <f>IFERROR(__xludf.DUMMYFUNCTION("""COMPUTED_VALUE"""),"treatment")</f>
        <v>treatment</v>
      </c>
      <c r="D1615" s="1" t="str">
        <f>IFERROR(__xludf.DUMMYFUNCTION("""COMPUTED_VALUE"""),"new_page")</f>
        <v>new_page</v>
      </c>
      <c r="E1615" s="1">
        <f>IFERROR(__xludf.DUMMYFUNCTION("""COMPUTED_VALUE"""),0.0)</f>
        <v>0</v>
      </c>
    </row>
    <row r="1616">
      <c r="A1616" s="1">
        <f>IFERROR(__xludf.DUMMYFUNCTION("""COMPUTED_VALUE"""),803895.0)</f>
        <v>803895</v>
      </c>
      <c r="B1616" s="2">
        <f>IFERROR(__xludf.DUMMYFUNCTION("""COMPUTED_VALUE"""),42750.94628220102)</f>
        <v>42750.94628</v>
      </c>
      <c r="C1616" s="1" t="str">
        <f>IFERROR(__xludf.DUMMYFUNCTION("""COMPUTED_VALUE"""),"treatment")</f>
        <v>treatment</v>
      </c>
      <c r="D1616" s="1" t="str">
        <f>IFERROR(__xludf.DUMMYFUNCTION("""COMPUTED_VALUE"""),"new_page")</f>
        <v>new_page</v>
      </c>
      <c r="E1616" s="1">
        <f>IFERROR(__xludf.DUMMYFUNCTION("""COMPUTED_VALUE"""),0.0)</f>
        <v>0</v>
      </c>
    </row>
    <row r="1617">
      <c r="A1617" s="1">
        <f>IFERROR(__xludf.DUMMYFUNCTION("""COMPUTED_VALUE"""),848883.0)</f>
        <v>848883</v>
      </c>
      <c r="B1617" s="2">
        <f>IFERROR(__xludf.DUMMYFUNCTION("""COMPUTED_VALUE"""),42745.064378357616)</f>
        <v>42745.06438</v>
      </c>
      <c r="C1617" s="1" t="str">
        <f>IFERROR(__xludf.DUMMYFUNCTION("""COMPUTED_VALUE"""),"control")</f>
        <v>control</v>
      </c>
      <c r="D1617" s="1" t="str">
        <f>IFERROR(__xludf.DUMMYFUNCTION("""COMPUTED_VALUE"""),"old_page")</f>
        <v>old_page</v>
      </c>
      <c r="E1617" s="1">
        <f>IFERROR(__xludf.DUMMYFUNCTION("""COMPUTED_VALUE"""),0.0)</f>
        <v>0</v>
      </c>
    </row>
    <row r="1618">
      <c r="A1618" s="1">
        <f>IFERROR(__xludf.DUMMYFUNCTION("""COMPUTED_VALUE"""),733891.0)</f>
        <v>733891</v>
      </c>
      <c r="B1618" s="2">
        <f>IFERROR(__xludf.DUMMYFUNCTION("""COMPUTED_VALUE"""),42756.340399412074)</f>
        <v>42756.3404</v>
      </c>
      <c r="C1618" s="1" t="str">
        <f>IFERROR(__xludf.DUMMYFUNCTION("""COMPUTED_VALUE"""),"control")</f>
        <v>control</v>
      </c>
      <c r="D1618" s="1" t="str">
        <f>IFERROR(__xludf.DUMMYFUNCTION("""COMPUTED_VALUE"""),"old_page")</f>
        <v>old_page</v>
      </c>
      <c r="E1618" s="1">
        <f>IFERROR(__xludf.DUMMYFUNCTION("""COMPUTED_VALUE"""),0.0)</f>
        <v>0</v>
      </c>
    </row>
    <row r="1619">
      <c r="A1619" s="1">
        <f>IFERROR(__xludf.DUMMYFUNCTION("""COMPUTED_VALUE"""),684983.0)</f>
        <v>684983</v>
      </c>
      <c r="B1619" s="2">
        <f>IFERROR(__xludf.DUMMYFUNCTION("""COMPUTED_VALUE"""),42752.35386505235)</f>
        <v>42752.35387</v>
      </c>
      <c r="C1619" s="1" t="str">
        <f>IFERROR(__xludf.DUMMYFUNCTION("""COMPUTED_VALUE"""),"control")</f>
        <v>control</v>
      </c>
      <c r="D1619" s="1" t="str">
        <f>IFERROR(__xludf.DUMMYFUNCTION("""COMPUTED_VALUE"""),"old_page")</f>
        <v>old_page</v>
      </c>
      <c r="E1619" s="1">
        <f>IFERROR(__xludf.DUMMYFUNCTION("""COMPUTED_VALUE"""),0.0)</f>
        <v>0</v>
      </c>
    </row>
    <row r="1620">
      <c r="A1620" s="1">
        <f>IFERROR(__xludf.DUMMYFUNCTION("""COMPUTED_VALUE"""),746278.0)</f>
        <v>746278</v>
      </c>
      <c r="B1620" s="2">
        <f>IFERROR(__xludf.DUMMYFUNCTION("""COMPUTED_VALUE"""),42758.2537340095)</f>
        <v>42758.25373</v>
      </c>
      <c r="C1620" s="1" t="str">
        <f>IFERROR(__xludf.DUMMYFUNCTION("""COMPUTED_VALUE"""),"control")</f>
        <v>control</v>
      </c>
      <c r="D1620" s="1" t="str">
        <f>IFERROR(__xludf.DUMMYFUNCTION("""COMPUTED_VALUE"""),"old_page")</f>
        <v>old_page</v>
      </c>
      <c r="E1620" s="1">
        <f>IFERROR(__xludf.DUMMYFUNCTION("""COMPUTED_VALUE"""),0.0)</f>
        <v>0</v>
      </c>
    </row>
    <row r="1621">
      <c r="A1621" s="1">
        <f>IFERROR(__xludf.DUMMYFUNCTION("""COMPUTED_VALUE"""),842803.0)</f>
        <v>842803</v>
      </c>
      <c r="B1621" s="2">
        <f>IFERROR(__xludf.DUMMYFUNCTION("""COMPUTED_VALUE"""),42749.27500449817)</f>
        <v>42749.275</v>
      </c>
      <c r="C1621" s="1" t="str">
        <f>IFERROR(__xludf.DUMMYFUNCTION("""COMPUTED_VALUE"""),"treatment")</f>
        <v>treatment</v>
      </c>
      <c r="D1621" s="1" t="str">
        <f>IFERROR(__xludf.DUMMYFUNCTION("""COMPUTED_VALUE"""),"new_page")</f>
        <v>new_page</v>
      </c>
      <c r="E1621" s="1">
        <f>IFERROR(__xludf.DUMMYFUNCTION("""COMPUTED_VALUE"""),0.0)</f>
        <v>0</v>
      </c>
    </row>
    <row r="1622">
      <c r="A1622" s="1">
        <f>IFERROR(__xludf.DUMMYFUNCTION("""COMPUTED_VALUE"""),807997.0)</f>
        <v>807997</v>
      </c>
      <c r="B1622" s="2">
        <f>IFERROR(__xludf.DUMMYFUNCTION("""COMPUTED_VALUE"""),42750.42951350501)</f>
        <v>42750.42951</v>
      </c>
      <c r="C1622" s="1" t="str">
        <f>IFERROR(__xludf.DUMMYFUNCTION("""COMPUTED_VALUE"""),"control")</f>
        <v>control</v>
      </c>
      <c r="D1622" s="1" t="str">
        <f>IFERROR(__xludf.DUMMYFUNCTION("""COMPUTED_VALUE"""),"old_page")</f>
        <v>old_page</v>
      </c>
      <c r="E1622" s="1">
        <f>IFERROR(__xludf.DUMMYFUNCTION("""COMPUTED_VALUE"""),0.0)</f>
        <v>0</v>
      </c>
    </row>
    <row r="1623">
      <c r="A1623" s="1">
        <f>IFERROR(__xludf.DUMMYFUNCTION("""COMPUTED_VALUE"""),706917.0)</f>
        <v>706917</v>
      </c>
      <c r="B1623" s="2">
        <f>IFERROR(__xludf.DUMMYFUNCTION("""COMPUTED_VALUE"""),42750.361068539736)</f>
        <v>42750.36107</v>
      </c>
      <c r="C1623" s="1" t="str">
        <f>IFERROR(__xludf.DUMMYFUNCTION("""COMPUTED_VALUE"""),"control")</f>
        <v>control</v>
      </c>
      <c r="D1623" s="1" t="str">
        <f>IFERROR(__xludf.DUMMYFUNCTION("""COMPUTED_VALUE"""),"old_page")</f>
        <v>old_page</v>
      </c>
      <c r="E1623" s="1">
        <f>IFERROR(__xludf.DUMMYFUNCTION("""COMPUTED_VALUE"""),0.0)</f>
        <v>0</v>
      </c>
    </row>
    <row r="1624">
      <c r="A1624" s="1">
        <f>IFERROR(__xludf.DUMMYFUNCTION("""COMPUTED_VALUE"""),872023.0)</f>
        <v>872023</v>
      </c>
      <c r="B1624" s="2">
        <f>IFERROR(__xludf.DUMMYFUNCTION("""COMPUTED_VALUE"""),42748.59699001555)</f>
        <v>42748.59699</v>
      </c>
      <c r="C1624" s="1" t="str">
        <f>IFERROR(__xludf.DUMMYFUNCTION("""COMPUTED_VALUE"""),"treatment")</f>
        <v>treatment</v>
      </c>
      <c r="D1624" s="1" t="str">
        <f>IFERROR(__xludf.DUMMYFUNCTION("""COMPUTED_VALUE"""),"new_page")</f>
        <v>new_page</v>
      </c>
      <c r="E1624" s="1">
        <f>IFERROR(__xludf.DUMMYFUNCTION("""COMPUTED_VALUE"""),0.0)</f>
        <v>0</v>
      </c>
    </row>
    <row r="1625">
      <c r="A1625" s="1">
        <f>IFERROR(__xludf.DUMMYFUNCTION("""COMPUTED_VALUE"""),724978.0)</f>
        <v>724978</v>
      </c>
      <c r="B1625" s="2">
        <f>IFERROR(__xludf.DUMMYFUNCTION("""COMPUTED_VALUE"""),42752.979512476864)</f>
        <v>42752.97951</v>
      </c>
      <c r="C1625" s="1" t="str">
        <f>IFERROR(__xludf.DUMMYFUNCTION("""COMPUTED_VALUE"""),"control")</f>
        <v>control</v>
      </c>
      <c r="D1625" s="1" t="str">
        <f>IFERROR(__xludf.DUMMYFUNCTION("""COMPUTED_VALUE"""),"old_page")</f>
        <v>old_page</v>
      </c>
      <c r="E1625" s="1">
        <f>IFERROR(__xludf.DUMMYFUNCTION("""COMPUTED_VALUE"""),0.0)</f>
        <v>0</v>
      </c>
    </row>
    <row r="1626">
      <c r="A1626" s="1">
        <f>IFERROR(__xludf.DUMMYFUNCTION("""COMPUTED_VALUE"""),678381.0)</f>
        <v>678381</v>
      </c>
      <c r="B1626" s="2">
        <f>IFERROR(__xludf.DUMMYFUNCTION("""COMPUTED_VALUE"""),42742.76289042246)</f>
        <v>42742.76289</v>
      </c>
      <c r="C1626" s="1" t="str">
        <f>IFERROR(__xludf.DUMMYFUNCTION("""COMPUTED_VALUE"""),"treatment")</f>
        <v>treatment</v>
      </c>
      <c r="D1626" s="1" t="str">
        <f>IFERROR(__xludf.DUMMYFUNCTION("""COMPUTED_VALUE"""),"new_page")</f>
        <v>new_page</v>
      </c>
      <c r="E1626" s="1">
        <f>IFERROR(__xludf.DUMMYFUNCTION("""COMPUTED_VALUE"""),0.0)</f>
        <v>0</v>
      </c>
    </row>
    <row r="1627">
      <c r="A1627" s="1">
        <f>IFERROR(__xludf.DUMMYFUNCTION("""COMPUTED_VALUE"""),867569.0)</f>
        <v>867569</v>
      </c>
      <c r="B1627" s="2">
        <f>IFERROR(__xludf.DUMMYFUNCTION("""COMPUTED_VALUE"""),42737.83257826124)</f>
        <v>42737.83258</v>
      </c>
      <c r="C1627" s="1" t="str">
        <f>IFERROR(__xludf.DUMMYFUNCTION("""COMPUTED_VALUE"""),"control")</f>
        <v>control</v>
      </c>
      <c r="D1627" s="1" t="str">
        <f>IFERROR(__xludf.DUMMYFUNCTION("""COMPUTED_VALUE"""),"old_page")</f>
        <v>old_page</v>
      </c>
      <c r="E1627" s="1">
        <f>IFERROR(__xludf.DUMMYFUNCTION("""COMPUTED_VALUE"""),0.0)</f>
        <v>0</v>
      </c>
    </row>
    <row r="1628">
      <c r="A1628" s="1">
        <f>IFERROR(__xludf.DUMMYFUNCTION("""COMPUTED_VALUE"""),798569.0)</f>
        <v>798569</v>
      </c>
      <c r="B1628" s="2">
        <f>IFERROR(__xludf.DUMMYFUNCTION("""COMPUTED_VALUE"""),42738.261967057406)</f>
        <v>42738.26197</v>
      </c>
      <c r="C1628" s="1" t="str">
        <f>IFERROR(__xludf.DUMMYFUNCTION("""COMPUTED_VALUE"""),"control")</f>
        <v>control</v>
      </c>
      <c r="D1628" s="1" t="str">
        <f>IFERROR(__xludf.DUMMYFUNCTION("""COMPUTED_VALUE"""),"old_page")</f>
        <v>old_page</v>
      </c>
      <c r="E1628" s="1">
        <f>IFERROR(__xludf.DUMMYFUNCTION("""COMPUTED_VALUE"""),0.0)</f>
        <v>0</v>
      </c>
    </row>
    <row r="1629">
      <c r="A1629" s="1">
        <f>IFERROR(__xludf.DUMMYFUNCTION("""COMPUTED_VALUE"""),728160.0)</f>
        <v>728160</v>
      </c>
      <c r="B1629" s="2">
        <f>IFERROR(__xludf.DUMMYFUNCTION("""COMPUTED_VALUE"""),42742.94285856308)</f>
        <v>42742.94286</v>
      </c>
      <c r="C1629" s="1" t="str">
        <f>IFERROR(__xludf.DUMMYFUNCTION("""COMPUTED_VALUE"""),"treatment")</f>
        <v>treatment</v>
      </c>
      <c r="D1629" s="1" t="str">
        <f>IFERROR(__xludf.DUMMYFUNCTION("""COMPUTED_VALUE"""),"new_page")</f>
        <v>new_page</v>
      </c>
      <c r="E1629" s="1">
        <f>IFERROR(__xludf.DUMMYFUNCTION("""COMPUTED_VALUE"""),1.0)</f>
        <v>1</v>
      </c>
    </row>
    <row r="1630">
      <c r="A1630" s="1">
        <f>IFERROR(__xludf.DUMMYFUNCTION("""COMPUTED_VALUE"""),884445.0)</f>
        <v>884445</v>
      </c>
      <c r="B1630" s="2">
        <f>IFERROR(__xludf.DUMMYFUNCTION("""COMPUTED_VALUE"""),42738.93789713716)</f>
        <v>42738.9379</v>
      </c>
      <c r="C1630" s="1" t="str">
        <f>IFERROR(__xludf.DUMMYFUNCTION("""COMPUTED_VALUE"""),"control")</f>
        <v>control</v>
      </c>
      <c r="D1630" s="1" t="str">
        <f>IFERROR(__xludf.DUMMYFUNCTION("""COMPUTED_VALUE"""),"old_page")</f>
        <v>old_page</v>
      </c>
      <c r="E1630" s="1">
        <f>IFERROR(__xludf.DUMMYFUNCTION("""COMPUTED_VALUE"""),1.0)</f>
        <v>1</v>
      </c>
    </row>
    <row r="1631">
      <c r="A1631" s="1">
        <f>IFERROR(__xludf.DUMMYFUNCTION("""COMPUTED_VALUE"""),832350.0)</f>
        <v>832350</v>
      </c>
      <c r="B1631" s="2">
        <f>IFERROR(__xludf.DUMMYFUNCTION("""COMPUTED_VALUE"""),42749.63556477881)</f>
        <v>42749.63556</v>
      </c>
      <c r="C1631" s="1" t="str">
        <f>IFERROR(__xludf.DUMMYFUNCTION("""COMPUTED_VALUE"""),"control")</f>
        <v>control</v>
      </c>
      <c r="D1631" s="1" t="str">
        <f>IFERROR(__xludf.DUMMYFUNCTION("""COMPUTED_VALUE"""),"old_page")</f>
        <v>old_page</v>
      </c>
      <c r="E1631" s="1">
        <f>IFERROR(__xludf.DUMMYFUNCTION("""COMPUTED_VALUE"""),0.0)</f>
        <v>0</v>
      </c>
    </row>
    <row r="1632">
      <c r="A1632" s="1">
        <f>IFERROR(__xludf.DUMMYFUNCTION("""COMPUTED_VALUE"""),736841.0)</f>
        <v>736841</v>
      </c>
      <c r="B1632" s="2">
        <f>IFERROR(__xludf.DUMMYFUNCTION("""COMPUTED_VALUE"""),42745.6953457151)</f>
        <v>42745.69535</v>
      </c>
      <c r="C1632" s="1" t="str">
        <f>IFERROR(__xludf.DUMMYFUNCTION("""COMPUTED_VALUE"""),"control")</f>
        <v>control</v>
      </c>
      <c r="D1632" s="1" t="str">
        <f>IFERROR(__xludf.DUMMYFUNCTION("""COMPUTED_VALUE"""),"old_page")</f>
        <v>old_page</v>
      </c>
      <c r="E1632" s="1">
        <f>IFERROR(__xludf.DUMMYFUNCTION("""COMPUTED_VALUE"""),0.0)</f>
        <v>0</v>
      </c>
    </row>
    <row r="1633">
      <c r="A1633" s="1">
        <f>IFERROR(__xludf.DUMMYFUNCTION("""COMPUTED_VALUE"""),728235.0)</f>
        <v>728235</v>
      </c>
      <c r="B1633" s="2">
        <f>IFERROR(__xludf.DUMMYFUNCTION("""COMPUTED_VALUE"""),42744.1597548011)</f>
        <v>42744.15975</v>
      </c>
      <c r="C1633" s="1" t="str">
        <f>IFERROR(__xludf.DUMMYFUNCTION("""COMPUTED_VALUE"""),"control")</f>
        <v>control</v>
      </c>
      <c r="D1633" s="1" t="str">
        <f>IFERROR(__xludf.DUMMYFUNCTION("""COMPUTED_VALUE"""),"old_page")</f>
        <v>old_page</v>
      </c>
      <c r="E1633" s="1">
        <f>IFERROR(__xludf.DUMMYFUNCTION("""COMPUTED_VALUE"""),0.0)</f>
        <v>0</v>
      </c>
    </row>
    <row r="1634">
      <c r="A1634" s="1">
        <f>IFERROR(__xludf.DUMMYFUNCTION("""COMPUTED_VALUE"""),706057.0)</f>
        <v>706057</v>
      </c>
      <c r="B1634" s="2">
        <f>IFERROR(__xludf.DUMMYFUNCTION("""COMPUTED_VALUE"""),42746.43262406251)</f>
        <v>42746.43262</v>
      </c>
      <c r="C1634" s="1" t="str">
        <f>IFERROR(__xludf.DUMMYFUNCTION("""COMPUTED_VALUE"""),"treatment")</f>
        <v>treatment</v>
      </c>
      <c r="D1634" s="1" t="str">
        <f>IFERROR(__xludf.DUMMYFUNCTION("""COMPUTED_VALUE"""),"new_page")</f>
        <v>new_page</v>
      </c>
      <c r="E1634" s="1">
        <f>IFERROR(__xludf.DUMMYFUNCTION("""COMPUTED_VALUE"""),0.0)</f>
        <v>0</v>
      </c>
    </row>
    <row r="1635">
      <c r="A1635" s="1">
        <f>IFERROR(__xludf.DUMMYFUNCTION("""COMPUTED_VALUE"""),924145.0)</f>
        <v>924145</v>
      </c>
      <c r="B1635" s="2">
        <f>IFERROR(__xludf.DUMMYFUNCTION("""COMPUTED_VALUE"""),42748.37389546244)</f>
        <v>42748.3739</v>
      </c>
      <c r="C1635" s="1" t="str">
        <f>IFERROR(__xludf.DUMMYFUNCTION("""COMPUTED_VALUE"""),"control")</f>
        <v>control</v>
      </c>
      <c r="D1635" s="1" t="str">
        <f>IFERROR(__xludf.DUMMYFUNCTION("""COMPUTED_VALUE"""),"old_page")</f>
        <v>old_page</v>
      </c>
      <c r="E1635" s="1">
        <f>IFERROR(__xludf.DUMMYFUNCTION("""COMPUTED_VALUE"""),0.0)</f>
        <v>0</v>
      </c>
    </row>
    <row r="1636">
      <c r="A1636" s="1">
        <f>IFERROR(__xludf.DUMMYFUNCTION("""COMPUTED_VALUE"""),879260.0)</f>
        <v>879260</v>
      </c>
      <c r="B1636" s="2">
        <f>IFERROR(__xludf.DUMMYFUNCTION("""COMPUTED_VALUE"""),42758.38507890472)</f>
        <v>42758.38508</v>
      </c>
      <c r="C1636" s="1" t="str">
        <f>IFERROR(__xludf.DUMMYFUNCTION("""COMPUTED_VALUE"""),"treatment")</f>
        <v>treatment</v>
      </c>
      <c r="D1636" s="1" t="str">
        <f>IFERROR(__xludf.DUMMYFUNCTION("""COMPUTED_VALUE"""),"new_page")</f>
        <v>new_page</v>
      </c>
      <c r="E1636" s="1">
        <f>IFERROR(__xludf.DUMMYFUNCTION("""COMPUTED_VALUE"""),1.0)</f>
        <v>1</v>
      </c>
    </row>
    <row r="1637">
      <c r="A1637" s="1">
        <f>IFERROR(__xludf.DUMMYFUNCTION("""COMPUTED_VALUE"""),810572.0)</f>
        <v>810572</v>
      </c>
      <c r="B1637" s="2">
        <f>IFERROR(__xludf.DUMMYFUNCTION("""COMPUTED_VALUE"""),42743.482290465276)</f>
        <v>42743.48229</v>
      </c>
      <c r="C1637" s="1" t="str">
        <f>IFERROR(__xludf.DUMMYFUNCTION("""COMPUTED_VALUE"""),"treatment")</f>
        <v>treatment</v>
      </c>
      <c r="D1637" s="1" t="str">
        <f>IFERROR(__xludf.DUMMYFUNCTION("""COMPUTED_VALUE"""),"new_page")</f>
        <v>new_page</v>
      </c>
      <c r="E1637" s="1">
        <f>IFERROR(__xludf.DUMMYFUNCTION("""COMPUTED_VALUE"""),0.0)</f>
        <v>0</v>
      </c>
    </row>
    <row r="1638">
      <c r="A1638" s="1">
        <f>IFERROR(__xludf.DUMMYFUNCTION("""COMPUTED_VALUE"""),860055.0)</f>
        <v>860055</v>
      </c>
      <c r="B1638" s="2">
        <f>IFERROR(__xludf.DUMMYFUNCTION("""COMPUTED_VALUE"""),42740.31676473423)</f>
        <v>42740.31676</v>
      </c>
      <c r="C1638" s="1" t="str">
        <f>IFERROR(__xludf.DUMMYFUNCTION("""COMPUTED_VALUE"""),"control")</f>
        <v>control</v>
      </c>
      <c r="D1638" s="1" t="str">
        <f>IFERROR(__xludf.DUMMYFUNCTION("""COMPUTED_VALUE"""),"old_page")</f>
        <v>old_page</v>
      </c>
      <c r="E1638" s="1">
        <f>IFERROR(__xludf.DUMMYFUNCTION("""COMPUTED_VALUE"""),0.0)</f>
        <v>0</v>
      </c>
    </row>
    <row r="1639">
      <c r="A1639" s="1">
        <f>IFERROR(__xludf.DUMMYFUNCTION("""COMPUTED_VALUE"""),798837.0)</f>
        <v>798837</v>
      </c>
      <c r="B1639" s="2">
        <f>IFERROR(__xludf.DUMMYFUNCTION("""COMPUTED_VALUE"""),42756.129841936716)</f>
        <v>42756.12984</v>
      </c>
      <c r="C1639" s="1" t="str">
        <f>IFERROR(__xludf.DUMMYFUNCTION("""COMPUTED_VALUE"""),"treatment")</f>
        <v>treatment</v>
      </c>
      <c r="D1639" s="1" t="str">
        <f>IFERROR(__xludf.DUMMYFUNCTION("""COMPUTED_VALUE"""),"new_page")</f>
        <v>new_page</v>
      </c>
      <c r="E1639" s="1">
        <f>IFERROR(__xludf.DUMMYFUNCTION("""COMPUTED_VALUE"""),0.0)</f>
        <v>0</v>
      </c>
    </row>
    <row r="1640">
      <c r="A1640" s="1">
        <f>IFERROR(__xludf.DUMMYFUNCTION("""COMPUTED_VALUE"""),755743.0)</f>
        <v>755743</v>
      </c>
      <c r="B1640" s="2">
        <f>IFERROR(__xludf.DUMMYFUNCTION("""COMPUTED_VALUE"""),42740.24792031298)</f>
        <v>42740.24792</v>
      </c>
      <c r="C1640" s="1" t="str">
        <f>IFERROR(__xludf.DUMMYFUNCTION("""COMPUTED_VALUE"""),"control")</f>
        <v>control</v>
      </c>
      <c r="D1640" s="1" t="str">
        <f>IFERROR(__xludf.DUMMYFUNCTION("""COMPUTED_VALUE"""),"old_page")</f>
        <v>old_page</v>
      </c>
      <c r="E1640" s="1">
        <f>IFERROR(__xludf.DUMMYFUNCTION("""COMPUTED_VALUE"""),1.0)</f>
        <v>1</v>
      </c>
    </row>
    <row r="1641">
      <c r="A1641" s="1">
        <f>IFERROR(__xludf.DUMMYFUNCTION("""COMPUTED_VALUE"""),842269.0)</f>
        <v>842269</v>
      </c>
      <c r="B1641" s="2">
        <f>IFERROR(__xludf.DUMMYFUNCTION("""COMPUTED_VALUE"""),42752.17606278251)</f>
        <v>42752.17606</v>
      </c>
      <c r="C1641" s="1" t="str">
        <f>IFERROR(__xludf.DUMMYFUNCTION("""COMPUTED_VALUE"""),"treatment")</f>
        <v>treatment</v>
      </c>
      <c r="D1641" s="1" t="str">
        <f>IFERROR(__xludf.DUMMYFUNCTION("""COMPUTED_VALUE"""),"new_page")</f>
        <v>new_page</v>
      </c>
      <c r="E1641" s="1">
        <f>IFERROR(__xludf.DUMMYFUNCTION("""COMPUTED_VALUE"""),0.0)</f>
        <v>0</v>
      </c>
    </row>
    <row r="1642">
      <c r="A1642" s="1">
        <f>IFERROR(__xludf.DUMMYFUNCTION("""COMPUTED_VALUE"""),909855.0)</f>
        <v>909855</v>
      </c>
      <c r="B1642" s="2">
        <f>IFERROR(__xludf.DUMMYFUNCTION("""COMPUTED_VALUE"""),42738.68508648225)</f>
        <v>42738.68509</v>
      </c>
      <c r="C1642" s="1" t="str">
        <f>IFERROR(__xludf.DUMMYFUNCTION("""COMPUTED_VALUE"""),"control")</f>
        <v>control</v>
      </c>
      <c r="D1642" s="1" t="str">
        <f>IFERROR(__xludf.DUMMYFUNCTION("""COMPUTED_VALUE"""),"old_page")</f>
        <v>old_page</v>
      </c>
      <c r="E1642" s="1">
        <f>IFERROR(__xludf.DUMMYFUNCTION("""COMPUTED_VALUE"""),0.0)</f>
        <v>0</v>
      </c>
    </row>
    <row r="1643">
      <c r="A1643" s="1">
        <f>IFERROR(__xludf.DUMMYFUNCTION("""COMPUTED_VALUE"""),667980.0)</f>
        <v>667980</v>
      </c>
      <c r="B1643" s="2">
        <f>IFERROR(__xludf.DUMMYFUNCTION("""COMPUTED_VALUE"""),42757.098140198876)</f>
        <v>42757.09814</v>
      </c>
      <c r="C1643" s="1" t="str">
        <f>IFERROR(__xludf.DUMMYFUNCTION("""COMPUTED_VALUE"""),"control")</f>
        <v>control</v>
      </c>
      <c r="D1643" s="1" t="str">
        <f>IFERROR(__xludf.DUMMYFUNCTION("""COMPUTED_VALUE"""),"old_page")</f>
        <v>old_page</v>
      </c>
      <c r="E1643" s="1">
        <f>IFERROR(__xludf.DUMMYFUNCTION("""COMPUTED_VALUE"""),0.0)</f>
        <v>0</v>
      </c>
    </row>
    <row r="1644">
      <c r="A1644" s="1">
        <f>IFERROR(__xludf.DUMMYFUNCTION("""COMPUTED_VALUE"""),886384.0)</f>
        <v>886384</v>
      </c>
      <c r="B1644" s="2">
        <f>IFERROR(__xludf.DUMMYFUNCTION("""COMPUTED_VALUE"""),42756.297740408336)</f>
        <v>42756.29774</v>
      </c>
      <c r="C1644" s="1" t="str">
        <f>IFERROR(__xludf.DUMMYFUNCTION("""COMPUTED_VALUE"""),"control")</f>
        <v>control</v>
      </c>
      <c r="D1644" s="1" t="str">
        <f>IFERROR(__xludf.DUMMYFUNCTION("""COMPUTED_VALUE"""),"old_page")</f>
        <v>old_page</v>
      </c>
      <c r="E1644" s="1">
        <f>IFERROR(__xludf.DUMMYFUNCTION("""COMPUTED_VALUE"""),0.0)</f>
        <v>0</v>
      </c>
    </row>
    <row r="1645">
      <c r="A1645" s="1">
        <f>IFERROR(__xludf.DUMMYFUNCTION("""COMPUTED_VALUE"""),669662.0)</f>
        <v>669662</v>
      </c>
      <c r="B1645" s="2">
        <f>IFERROR(__xludf.DUMMYFUNCTION("""COMPUTED_VALUE"""),42752.679492754396)</f>
        <v>42752.67949</v>
      </c>
      <c r="C1645" s="1" t="str">
        <f>IFERROR(__xludf.DUMMYFUNCTION("""COMPUTED_VALUE"""),"control")</f>
        <v>control</v>
      </c>
      <c r="D1645" s="1" t="str">
        <f>IFERROR(__xludf.DUMMYFUNCTION("""COMPUTED_VALUE"""),"old_page")</f>
        <v>old_page</v>
      </c>
      <c r="E1645" s="1">
        <f>IFERROR(__xludf.DUMMYFUNCTION("""COMPUTED_VALUE"""),0.0)</f>
        <v>0</v>
      </c>
    </row>
    <row r="1646">
      <c r="A1646" s="1">
        <f>IFERROR(__xludf.DUMMYFUNCTION("""COMPUTED_VALUE"""),650843.0)</f>
        <v>650843</v>
      </c>
      <c r="B1646" s="2">
        <f>IFERROR(__xludf.DUMMYFUNCTION("""COMPUTED_VALUE"""),42741.07650686462)</f>
        <v>42741.07651</v>
      </c>
      <c r="C1646" s="1" t="str">
        <f>IFERROR(__xludf.DUMMYFUNCTION("""COMPUTED_VALUE"""),"control")</f>
        <v>control</v>
      </c>
      <c r="D1646" s="1" t="str">
        <f>IFERROR(__xludf.DUMMYFUNCTION("""COMPUTED_VALUE"""),"old_page")</f>
        <v>old_page</v>
      </c>
      <c r="E1646" s="1">
        <f>IFERROR(__xludf.DUMMYFUNCTION("""COMPUTED_VALUE"""),0.0)</f>
        <v>0</v>
      </c>
    </row>
    <row r="1647">
      <c r="A1647" s="1">
        <f>IFERROR(__xludf.DUMMYFUNCTION("""COMPUTED_VALUE"""),923273.0)</f>
        <v>923273</v>
      </c>
      <c r="B1647" s="2">
        <f>IFERROR(__xludf.DUMMYFUNCTION("""COMPUTED_VALUE"""),42745.3148046805)</f>
        <v>42745.3148</v>
      </c>
      <c r="C1647" s="1" t="str">
        <f>IFERROR(__xludf.DUMMYFUNCTION("""COMPUTED_VALUE"""),"treatment")</f>
        <v>treatment</v>
      </c>
      <c r="D1647" s="1" t="str">
        <f>IFERROR(__xludf.DUMMYFUNCTION("""COMPUTED_VALUE"""),"new_page")</f>
        <v>new_page</v>
      </c>
      <c r="E1647" s="1">
        <f>IFERROR(__xludf.DUMMYFUNCTION("""COMPUTED_VALUE"""),1.0)</f>
        <v>1</v>
      </c>
    </row>
    <row r="1648">
      <c r="A1648" s="1">
        <f>IFERROR(__xludf.DUMMYFUNCTION("""COMPUTED_VALUE"""),902682.0)</f>
        <v>902682</v>
      </c>
      <c r="B1648" s="2">
        <f>IFERROR(__xludf.DUMMYFUNCTION("""COMPUTED_VALUE"""),42746.62443325607)</f>
        <v>42746.62443</v>
      </c>
      <c r="C1648" s="1" t="str">
        <f>IFERROR(__xludf.DUMMYFUNCTION("""COMPUTED_VALUE"""),"control")</f>
        <v>control</v>
      </c>
      <c r="D1648" s="1" t="str">
        <f>IFERROR(__xludf.DUMMYFUNCTION("""COMPUTED_VALUE"""),"old_page")</f>
        <v>old_page</v>
      </c>
      <c r="E1648" s="1">
        <f>IFERROR(__xludf.DUMMYFUNCTION("""COMPUTED_VALUE"""),0.0)</f>
        <v>0</v>
      </c>
    </row>
    <row r="1649">
      <c r="A1649" s="1">
        <f>IFERROR(__xludf.DUMMYFUNCTION("""COMPUTED_VALUE"""),659516.0)</f>
        <v>659516</v>
      </c>
      <c r="B1649" s="2">
        <f>IFERROR(__xludf.DUMMYFUNCTION("""COMPUTED_VALUE"""),42742.417458360185)</f>
        <v>42742.41746</v>
      </c>
      <c r="C1649" s="1" t="str">
        <f>IFERROR(__xludf.DUMMYFUNCTION("""COMPUTED_VALUE"""),"treatment")</f>
        <v>treatment</v>
      </c>
      <c r="D1649" s="1" t="str">
        <f>IFERROR(__xludf.DUMMYFUNCTION("""COMPUTED_VALUE"""),"new_page")</f>
        <v>new_page</v>
      </c>
      <c r="E1649" s="1">
        <f>IFERROR(__xludf.DUMMYFUNCTION("""COMPUTED_VALUE"""),0.0)</f>
        <v>0</v>
      </c>
    </row>
    <row r="1650">
      <c r="A1650" s="1">
        <f>IFERROR(__xludf.DUMMYFUNCTION("""COMPUTED_VALUE"""),725640.0)</f>
        <v>725640</v>
      </c>
      <c r="B1650" s="2">
        <f>IFERROR(__xludf.DUMMYFUNCTION("""COMPUTED_VALUE"""),42748.88743350748)</f>
        <v>42748.88743</v>
      </c>
      <c r="C1650" s="1" t="str">
        <f>IFERROR(__xludf.DUMMYFUNCTION("""COMPUTED_VALUE"""),"treatment")</f>
        <v>treatment</v>
      </c>
      <c r="D1650" s="1" t="str">
        <f>IFERROR(__xludf.DUMMYFUNCTION("""COMPUTED_VALUE"""),"new_page")</f>
        <v>new_page</v>
      </c>
      <c r="E1650" s="1">
        <f>IFERROR(__xludf.DUMMYFUNCTION("""COMPUTED_VALUE"""),0.0)</f>
        <v>0</v>
      </c>
    </row>
    <row r="1651">
      <c r="A1651" s="1">
        <f>IFERROR(__xludf.DUMMYFUNCTION("""COMPUTED_VALUE"""),765245.0)</f>
        <v>765245</v>
      </c>
      <c r="B1651" s="2">
        <f>IFERROR(__xludf.DUMMYFUNCTION("""COMPUTED_VALUE"""),42747.61638304803)</f>
        <v>42747.61638</v>
      </c>
      <c r="C1651" s="1" t="str">
        <f>IFERROR(__xludf.DUMMYFUNCTION("""COMPUTED_VALUE"""),"treatment")</f>
        <v>treatment</v>
      </c>
      <c r="D1651" s="1" t="str">
        <f>IFERROR(__xludf.DUMMYFUNCTION("""COMPUTED_VALUE"""),"new_page")</f>
        <v>new_page</v>
      </c>
      <c r="E1651" s="1">
        <f>IFERROR(__xludf.DUMMYFUNCTION("""COMPUTED_VALUE"""),0.0)</f>
        <v>0</v>
      </c>
    </row>
    <row r="1652">
      <c r="A1652" s="1">
        <f>IFERROR(__xludf.DUMMYFUNCTION("""COMPUTED_VALUE"""),852246.0)</f>
        <v>852246</v>
      </c>
      <c r="B1652" s="2">
        <f>IFERROR(__xludf.DUMMYFUNCTION("""COMPUTED_VALUE"""),42742.84677612578)</f>
        <v>42742.84678</v>
      </c>
      <c r="C1652" s="1" t="str">
        <f>IFERROR(__xludf.DUMMYFUNCTION("""COMPUTED_VALUE"""),"treatment")</f>
        <v>treatment</v>
      </c>
      <c r="D1652" s="1" t="str">
        <f>IFERROR(__xludf.DUMMYFUNCTION("""COMPUTED_VALUE"""),"new_page")</f>
        <v>new_page</v>
      </c>
      <c r="E1652" s="1">
        <f>IFERROR(__xludf.DUMMYFUNCTION("""COMPUTED_VALUE"""),0.0)</f>
        <v>0</v>
      </c>
    </row>
    <row r="1653">
      <c r="A1653" s="1">
        <f>IFERROR(__xludf.DUMMYFUNCTION("""COMPUTED_VALUE"""),653727.0)</f>
        <v>653727</v>
      </c>
      <c r="B1653" s="2">
        <f>IFERROR(__xludf.DUMMYFUNCTION("""COMPUTED_VALUE"""),42743.87071981112)</f>
        <v>42743.87072</v>
      </c>
      <c r="C1653" s="1" t="str">
        <f>IFERROR(__xludf.DUMMYFUNCTION("""COMPUTED_VALUE"""),"treatment")</f>
        <v>treatment</v>
      </c>
      <c r="D1653" s="1" t="str">
        <f>IFERROR(__xludf.DUMMYFUNCTION("""COMPUTED_VALUE"""),"new_page")</f>
        <v>new_page</v>
      </c>
      <c r="E1653" s="1">
        <f>IFERROR(__xludf.DUMMYFUNCTION("""COMPUTED_VALUE"""),0.0)</f>
        <v>0</v>
      </c>
    </row>
    <row r="1654">
      <c r="A1654" s="1">
        <f>IFERROR(__xludf.DUMMYFUNCTION("""COMPUTED_VALUE"""),831604.0)</f>
        <v>831604</v>
      </c>
      <c r="B1654" s="2">
        <f>IFERROR(__xludf.DUMMYFUNCTION("""COMPUTED_VALUE"""),42740.74434994569)</f>
        <v>42740.74435</v>
      </c>
      <c r="C1654" s="1" t="str">
        <f>IFERROR(__xludf.DUMMYFUNCTION("""COMPUTED_VALUE"""),"control")</f>
        <v>control</v>
      </c>
      <c r="D1654" s="1" t="str">
        <f>IFERROR(__xludf.DUMMYFUNCTION("""COMPUTED_VALUE"""),"old_page")</f>
        <v>old_page</v>
      </c>
      <c r="E1654" s="1">
        <f>IFERROR(__xludf.DUMMYFUNCTION("""COMPUTED_VALUE"""),0.0)</f>
        <v>0</v>
      </c>
    </row>
    <row r="1655">
      <c r="A1655" s="1">
        <f>IFERROR(__xludf.DUMMYFUNCTION("""COMPUTED_VALUE"""),669473.0)</f>
        <v>669473</v>
      </c>
      <c r="B1655" s="2">
        <f>IFERROR(__xludf.DUMMYFUNCTION("""COMPUTED_VALUE"""),42741.05599184953)</f>
        <v>42741.05599</v>
      </c>
      <c r="C1655" s="1" t="str">
        <f>IFERROR(__xludf.DUMMYFUNCTION("""COMPUTED_VALUE"""),"control")</f>
        <v>control</v>
      </c>
      <c r="D1655" s="1" t="str">
        <f>IFERROR(__xludf.DUMMYFUNCTION("""COMPUTED_VALUE"""),"old_page")</f>
        <v>old_page</v>
      </c>
      <c r="E1655" s="1">
        <f>IFERROR(__xludf.DUMMYFUNCTION("""COMPUTED_VALUE"""),0.0)</f>
        <v>0</v>
      </c>
    </row>
    <row r="1656">
      <c r="A1656" s="1">
        <f>IFERROR(__xludf.DUMMYFUNCTION("""COMPUTED_VALUE"""),694656.0)</f>
        <v>694656</v>
      </c>
      <c r="B1656" s="2">
        <f>IFERROR(__xludf.DUMMYFUNCTION("""COMPUTED_VALUE"""),42743.75723330573)</f>
        <v>42743.75723</v>
      </c>
      <c r="C1656" s="1" t="str">
        <f>IFERROR(__xludf.DUMMYFUNCTION("""COMPUTED_VALUE"""),"control")</f>
        <v>control</v>
      </c>
      <c r="D1656" s="1" t="str">
        <f>IFERROR(__xludf.DUMMYFUNCTION("""COMPUTED_VALUE"""),"old_page")</f>
        <v>old_page</v>
      </c>
      <c r="E1656" s="1">
        <f>IFERROR(__xludf.DUMMYFUNCTION("""COMPUTED_VALUE"""),0.0)</f>
        <v>0</v>
      </c>
    </row>
    <row r="1657">
      <c r="A1657" s="1">
        <f>IFERROR(__xludf.DUMMYFUNCTION("""COMPUTED_VALUE"""),905636.0)</f>
        <v>905636</v>
      </c>
      <c r="B1657" s="2">
        <f>IFERROR(__xludf.DUMMYFUNCTION("""COMPUTED_VALUE"""),42745.54184983544)</f>
        <v>42745.54185</v>
      </c>
      <c r="C1657" s="1" t="str">
        <f>IFERROR(__xludf.DUMMYFUNCTION("""COMPUTED_VALUE"""),"control")</f>
        <v>control</v>
      </c>
      <c r="D1657" s="1" t="str">
        <f>IFERROR(__xludf.DUMMYFUNCTION("""COMPUTED_VALUE"""),"old_page")</f>
        <v>old_page</v>
      </c>
      <c r="E1657" s="1">
        <f>IFERROR(__xludf.DUMMYFUNCTION("""COMPUTED_VALUE"""),0.0)</f>
        <v>0</v>
      </c>
    </row>
    <row r="1658">
      <c r="A1658" s="1">
        <f>IFERROR(__xludf.DUMMYFUNCTION("""COMPUTED_VALUE"""),878040.0)</f>
        <v>878040</v>
      </c>
      <c r="B1658" s="2">
        <f>IFERROR(__xludf.DUMMYFUNCTION("""COMPUTED_VALUE"""),42748.50841683506)</f>
        <v>42748.50842</v>
      </c>
      <c r="C1658" s="1" t="str">
        <f>IFERROR(__xludf.DUMMYFUNCTION("""COMPUTED_VALUE"""),"control")</f>
        <v>control</v>
      </c>
      <c r="D1658" s="1" t="str">
        <f>IFERROR(__xludf.DUMMYFUNCTION("""COMPUTED_VALUE"""),"old_page")</f>
        <v>old_page</v>
      </c>
      <c r="E1658" s="1">
        <f>IFERROR(__xludf.DUMMYFUNCTION("""COMPUTED_VALUE"""),0.0)</f>
        <v>0</v>
      </c>
    </row>
    <row r="1659">
      <c r="A1659" s="1">
        <f>IFERROR(__xludf.DUMMYFUNCTION("""COMPUTED_VALUE"""),826578.0)</f>
        <v>826578</v>
      </c>
      <c r="B1659" s="2">
        <f>IFERROR(__xludf.DUMMYFUNCTION("""COMPUTED_VALUE"""),42758.413742361496)</f>
        <v>42758.41374</v>
      </c>
      <c r="C1659" s="1" t="str">
        <f>IFERROR(__xludf.DUMMYFUNCTION("""COMPUTED_VALUE"""),"control")</f>
        <v>control</v>
      </c>
      <c r="D1659" s="1" t="str">
        <f>IFERROR(__xludf.DUMMYFUNCTION("""COMPUTED_VALUE"""),"old_page")</f>
        <v>old_page</v>
      </c>
      <c r="E1659" s="1">
        <f>IFERROR(__xludf.DUMMYFUNCTION("""COMPUTED_VALUE"""),0.0)</f>
        <v>0</v>
      </c>
    </row>
    <row r="1660">
      <c r="A1660" s="1">
        <f>IFERROR(__xludf.DUMMYFUNCTION("""COMPUTED_VALUE"""),735922.0)</f>
        <v>735922</v>
      </c>
      <c r="B1660" s="2">
        <f>IFERROR(__xludf.DUMMYFUNCTION("""COMPUTED_VALUE"""),42738.10766311654)</f>
        <v>42738.10766</v>
      </c>
      <c r="C1660" s="1" t="str">
        <f>IFERROR(__xludf.DUMMYFUNCTION("""COMPUTED_VALUE"""),"treatment")</f>
        <v>treatment</v>
      </c>
      <c r="D1660" s="1" t="str">
        <f>IFERROR(__xludf.DUMMYFUNCTION("""COMPUTED_VALUE"""),"new_page")</f>
        <v>new_page</v>
      </c>
      <c r="E1660" s="1">
        <f>IFERROR(__xludf.DUMMYFUNCTION("""COMPUTED_VALUE"""),0.0)</f>
        <v>0</v>
      </c>
    </row>
    <row r="1661">
      <c r="A1661" s="1">
        <f>IFERROR(__xludf.DUMMYFUNCTION("""COMPUTED_VALUE"""),692782.0)</f>
        <v>692782</v>
      </c>
      <c r="B1661" s="2">
        <f>IFERROR(__xludf.DUMMYFUNCTION("""COMPUTED_VALUE"""),42758.8493845997)</f>
        <v>42758.84938</v>
      </c>
      <c r="C1661" s="1" t="str">
        <f>IFERROR(__xludf.DUMMYFUNCTION("""COMPUTED_VALUE"""),"treatment")</f>
        <v>treatment</v>
      </c>
      <c r="D1661" s="1" t="str">
        <f>IFERROR(__xludf.DUMMYFUNCTION("""COMPUTED_VALUE"""),"new_page")</f>
        <v>new_page</v>
      </c>
      <c r="E1661" s="1">
        <f>IFERROR(__xludf.DUMMYFUNCTION("""COMPUTED_VALUE"""),0.0)</f>
        <v>0</v>
      </c>
    </row>
    <row r="1662">
      <c r="A1662" s="1">
        <f>IFERROR(__xludf.DUMMYFUNCTION("""COMPUTED_VALUE"""),772738.0)</f>
        <v>772738</v>
      </c>
      <c r="B1662" s="2">
        <f>IFERROR(__xludf.DUMMYFUNCTION("""COMPUTED_VALUE"""),42757.114943714514)</f>
        <v>42757.11494</v>
      </c>
      <c r="C1662" s="1" t="str">
        <f>IFERROR(__xludf.DUMMYFUNCTION("""COMPUTED_VALUE"""),"treatment")</f>
        <v>treatment</v>
      </c>
      <c r="D1662" s="1" t="str">
        <f>IFERROR(__xludf.DUMMYFUNCTION("""COMPUTED_VALUE"""),"new_page")</f>
        <v>new_page</v>
      </c>
      <c r="E1662" s="1">
        <f>IFERROR(__xludf.DUMMYFUNCTION("""COMPUTED_VALUE"""),0.0)</f>
        <v>0</v>
      </c>
    </row>
    <row r="1663">
      <c r="A1663" s="1">
        <f>IFERROR(__xludf.DUMMYFUNCTION("""COMPUTED_VALUE"""),889408.0)</f>
        <v>889408</v>
      </c>
      <c r="B1663" s="2">
        <f>IFERROR(__xludf.DUMMYFUNCTION("""COMPUTED_VALUE"""),42754.47085881446)</f>
        <v>42754.47086</v>
      </c>
      <c r="C1663" s="1" t="str">
        <f>IFERROR(__xludf.DUMMYFUNCTION("""COMPUTED_VALUE"""),"treatment")</f>
        <v>treatment</v>
      </c>
      <c r="D1663" s="1" t="str">
        <f>IFERROR(__xludf.DUMMYFUNCTION("""COMPUTED_VALUE"""),"new_page")</f>
        <v>new_page</v>
      </c>
      <c r="E1663" s="1">
        <f>IFERROR(__xludf.DUMMYFUNCTION("""COMPUTED_VALUE"""),0.0)</f>
        <v>0</v>
      </c>
    </row>
    <row r="1664">
      <c r="A1664" s="1">
        <f>IFERROR(__xludf.DUMMYFUNCTION("""COMPUTED_VALUE"""),766516.0)</f>
        <v>766516</v>
      </c>
      <c r="B1664" s="2">
        <f>IFERROR(__xludf.DUMMYFUNCTION("""COMPUTED_VALUE"""),42754.23965818333)</f>
        <v>42754.23966</v>
      </c>
      <c r="C1664" s="1" t="str">
        <f>IFERROR(__xludf.DUMMYFUNCTION("""COMPUTED_VALUE"""),"control")</f>
        <v>control</v>
      </c>
      <c r="D1664" s="1" t="str">
        <f>IFERROR(__xludf.DUMMYFUNCTION("""COMPUTED_VALUE"""),"old_page")</f>
        <v>old_page</v>
      </c>
      <c r="E1664" s="1">
        <f>IFERROR(__xludf.DUMMYFUNCTION("""COMPUTED_VALUE"""),0.0)</f>
        <v>0</v>
      </c>
    </row>
    <row r="1665">
      <c r="A1665" s="1">
        <f>IFERROR(__xludf.DUMMYFUNCTION("""COMPUTED_VALUE"""),880389.0)</f>
        <v>880389</v>
      </c>
      <c r="B1665" s="2">
        <f>IFERROR(__xludf.DUMMYFUNCTION("""COMPUTED_VALUE"""),42751.76348303176)</f>
        <v>42751.76348</v>
      </c>
      <c r="C1665" s="1" t="str">
        <f>IFERROR(__xludf.DUMMYFUNCTION("""COMPUTED_VALUE"""),"control")</f>
        <v>control</v>
      </c>
      <c r="D1665" s="1" t="str">
        <f>IFERROR(__xludf.DUMMYFUNCTION("""COMPUTED_VALUE"""),"old_page")</f>
        <v>old_page</v>
      </c>
      <c r="E1665" s="1">
        <f>IFERROR(__xludf.DUMMYFUNCTION("""COMPUTED_VALUE"""),0.0)</f>
        <v>0</v>
      </c>
    </row>
    <row r="1666">
      <c r="A1666" s="1">
        <f>IFERROR(__xludf.DUMMYFUNCTION("""COMPUTED_VALUE"""),907136.0)</f>
        <v>907136</v>
      </c>
      <c r="B1666" s="2">
        <f>IFERROR(__xludf.DUMMYFUNCTION("""COMPUTED_VALUE"""),42756.54162978824)</f>
        <v>42756.54163</v>
      </c>
      <c r="C1666" s="1" t="str">
        <f>IFERROR(__xludf.DUMMYFUNCTION("""COMPUTED_VALUE"""),"control")</f>
        <v>control</v>
      </c>
      <c r="D1666" s="1" t="str">
        <f>IFERROR(__xludf.DUMMYFUNCTION("""COMPUTED_VALUE"""),"old_page")</f>
        <v>old_page</v>
      </c>
      <c r="E1666" s="1">
        <f>IFERROR(__xludf.DUMMYFUNCTION("""COMPUTED_VALUE"""),0.0)</f>
        <v>0</v>
      </c>
    </row>
    <row r="1667">
      <c r="A1667" s="1">
        <f>IFERROR(__xludf.DUMMYFUNCTION("""COMPUTED_VALUE"""),794864.0)</f>
        <v>794864</v>
      </c>
      <c r="B1667" s="2">
        <f>IFERROR(__xludf.DUMMYFUNCTION("""COMPUTED_VALUE"""),42746.99999244467)</f>
        <v>42746.99999</v>
      </c>
      <c r="C1667" s="1" t="str">
        <f>IFERROR(__xludf.DUMMYFUNCTION("""COMPUTED_VALUE"""),"control")</f>
        <v>control</v>
      </c>
      <c r="D1667" s="1" t="str">
        <f>IFERROR(__xludf.DUMMYFUNCTION("""COMPUTED_VALUE"""),"old_page")</f>
        <v>old_page</v>
      </c>
      <c r="E1667" s="1">
        <f>IFERROR(__xludf.DUMMYFUNCTION("""COMPUTED_VALUE"""),0.0)</f>
        <v>0</v>
      </c>
    </row>
    <row r="1668">
      <c r="A1668" s="1">
        <f>IFERROR(__xludf.DUMMYFUNCTION("""COMPUTED_VALUE"""),732934.0)</f>
        <v>732934</v>
      </c>
      <c r="B1668" s="2">
        <f>IFERROR(__xludf.DUMMYFUNCTION("""COMPUTED_VALUE"""),42742.257180758636)</f>
        <v>42742.25718</v>
      </c>
      <c r="C1668" s="1" t="str">
        <f>IFERROR(__xludf.DUMMYFUNCTION("""COMPUTED_VALUE"""),"treatment")</f>
        <v>treatment</v>
      </c>
      <c r="D1668" s="1" t="str">
        <f>IFERROR(__xludf.DUMMYFUNCTION("""COMPUTED_VALUE"""),"new_page")</f>
        <v>new_page</v>
      </c>
      <c r="E1668" s="1">
        <f>IFERROR(__xludf.DUMMYFUNCTION("""COMPUTED_VALUE"""),0.0)</f>
        <v>0</v>
      </c>
    </row>
    <row r="1669">
      <c r="A1669" s="1">
        <f>IFERROR(__xludf.DUMMYFUNCTION("""COMPUTED_VALUE"""),772279.0)</f>
        <v>772279</v>
      </c>
      <c r="B1669" s="2">
        <f>IFERROR(__xludf.DUMMYFUNCTION("""COMPUTED_VALUE"""),42748.67339467695)</f>
        <v>42748.67339</v>
      </c>
      <c r="C1669" s="1" t="str">
        <f>IFERROR(__xludf.DUMMYFUNCTION("""COMPUTED_VALUE"""),"treatment")</f>
        <v>treatment</v>
      </c>
      <c r="D1669" s="1" t="str">
        <f>IFERROR(__xludf.DUMMYFUNCTION("""COMPUTED_VALUE"""),"new_page")</f>
        <v>new_page</v>
      </c>
      <c r="E1669" s="1">
        <f>IFERROR(__xludf.DUMMYFUNCTION("""COMPUTED_VALUE"""),0.0)</f>
        <v>0</v>
      </c>
    </row>
    <row r="1670">
      <c r="A1670" s="1">
        <f>IFERROR(__xludf.DUMMYFUNCTION("""COMPUTED_VALUE"""),675245.0)</f>
        <v>675245</v>
      </c>
      <c r="B1670" s="2">
        <f>IFERROR(__xludf.DUMMYFUNCTION("""COMPUTED_VALUE"""),42749.215767369824)</f>
        <v>42749.21577</v>
      </c>
      <c r="C1670" s="1" t="str">
        <f>IFERROR(__xludf.DUMMYFUNCTION("""COMPUTED_VALUE"""),"control")</f>
        <v>control</v>
      </c>
      <c r="D1670" s="1" t="str">
        <f>IFERROR(__xludf.DUMMYFUNCTION("""COMPUTED_VALUE"""),"old_page")</f>
        <v>old_page</v>
      </c>
      <c r="E1670" s="1">
        <f>IFERROR(__xludf.DUMMYFUNCTION("""COMPUTED_VALUE"""),0.0)</f>
        <v>0</v>
      </c>
    </row>
    <row r="1671">
      <c r="A1671" s="1">
        <f>IFERROR(__xludf.DUMMYFUNCTION("""COMPUTED_VALUE"""),782347.0)</f>
        <v>782347</v>
      </c>
      <c r="B1671" s="2">
        <f>IFERROR(__xludf.DUMMYFUNCTION("""COMPUTED_VALUE"""),42750.17732478723)</f>
        <v>42750.17732</v>
      </c>
      <c r="C1671" s="1" t="str">
        <f>IFERROR(__xludf.DUMMYFUNCTION("""COMPUTED_VALUE"""),"control")</f>
        <v>control</v>
      </c>
      <c r="D1671" s="1" t="str">
        <f>IFERROR(__xludf.DUMMYFUNCTION("""COMPUTED_VALUE"""),"old_page")</f>
        <v>old_page</v>
      </c>
      <c r="E1671" s="1">
        <f>IFERROR(__xludf.DUMMYFUNCTION("""COMPUTED_VALUE"""),0.0)</f>
        <v>0</v>
      </c>
    </row>
    <row r="1672">
      <c r="A1672" s="1">
        <f>IFERROR(__xludf.DUMMYFUNCTION("""COMPUTED_VALUE"""),830349.0)</f>
        <v>830349</v>
      </c>
      <c r="B1672" s="2">
        <f>IFERROR(__xludf.DUMMYFUNCTION("""COMPUTED_VALUE"""),42754.03922936794)</f>
        <v>42754.03923</v>
      </c>
      <c r="C1672" s="1" t="str">
        <f>IFERROR(__xludf.DUMMYFUNCTION("""COMPUTED_VALUE"""),"treatment")</f>
        <v>treatment</v>
      </c>
      <c r="D1672" s="1" t="str">
        <f>IFERROR(__xludf.DUMMYFUNCTION("""COMPUTED_VALUE"""),"new_page")</f>
        <v>new_page</v>
      </c>
      <c r="E1672" s="1">
        <f>IFERROR(__xludf.DUMMYFUNCTION("""COMPUTED_VALUE"""),0.0)</f>
        <v>0</v>
      </c>
    </row>
    <row r="1673">
      <c r="A1673" s="1">
        <f>IFERROR(__xludf.DUMMYFUNCTION("""COMPUTED_VALUE"""),836355.0)</f>
        <v>836355</v>
      </c>
      <c r="B1673" s="2">
        <f>IFERROR(__xludf.DUMMYFUNCTION("""COMPUTED_VALUE"""),42751.85608928722)</f>
        <v>42751.85609</v>
      </c>
      <c r="C1673" s="1" t="str">
        <f>IFERROR(__xludf.DUMMYFUNCTION("""COMPUTED_VALUE"""),"treatment")</f>
        <v>treatment</v>
      </c>
      <c r="D1673" s="1" t="str">
        <f>IFERROR(__xludf.DUMMYFUNCTION("""COMPUTED_VALUE"""),"new_page")</f>
        <v>new_page</v>
      </c>
      <c r="E1673" s="1">
        <f>IFERROR(__xludf.DUMMYFUNCTION("""COMPUTED_VALUE"""),0.0)</f>
        <v>0</v>
      </c>
    </row>
    <row r="1674">
      <c r="A1674" s="1">
        <f>IFERROR(__xludf.DUMMYFUNCTION("""COMPUTED_VALUE"""),881141.0)</f>
        <v>881141</v>
      </c>
      <c r="B1674" s="2">
        <f>IFERROR(__xludf.DUMMYFUNCTION("""COMPUTED_VALUE"""),42741.71236290178)</f>
        <v>42741.71236</v>
      </c>
      <c r="C1674" s="1" t="str">
        <f>IFERROR(__xludf.DUMMYFUNCTION("""COMPUTED_VALUE"""),"control")</f>
        <v>control</v>
      </c>
      <c r="D1674" s="1" t="str">
        <f>IFERROR(__xludf.DUMMYFUNCTION("""COMPUTED_VALUE"""),"old_page")</f>
        <v>old_page</v>
      </c>
      <c r="E1674" s="1">
        <f>IFERROR(__xludf.DUMMYFUNCTION("""COMPUTED_VALUE"""),0.0)</f>
        <v>0</v>
      </c>
    </row>
    <row r="1675">
      <c r="A1675" s="1">
        <f>IFERROR(__xludf.DUMMYFUNCTION("""COMPUTED_VALUE"""),729785.0)</f>
        <v>729785</v>
      </c>
      <c r="B1675" s="2">
        <f>IFERROR(__xludf.DUMMYFUNCTION("""COMPUTED_VALUE"""),42752.87520069594)</f>
        <v>42752.8752</v>
      </c>
      <c r="C1675" s="1" t="str">
        <f>IFERROR(__xludf.DUMMYFUNCTION("""COMPUTED_VALUE"""),"treatment")</f>
        <v>treatment</v>
      </c>
      <c r="D1675" s="1" t="str">
        <f>IFERROR(__xludf.DUMMYFUNCTION("""COMPUTED_VALUE"""),"new_page")</f>
        <v>new_page</v>
      </c>
      <c r="E1675" s="1">
        <f>IFERROR(__xludf.DUMMYFUNCTION("""COMPUTED_VALUE"""),0.0)</f>
        <v>0</v>
      </c>
    </row>
    <row r="1676">
      <c r="A1676" s="1">
        <f>IFERROR(__xludf.DUMMYFUNCTION("""COMPUTED_VALUE"""),686993.0)</f>
        <v>686993</v>
      </c>
      <c r="B1676" s="2">
        <f>IFERROR(__xludf.DUMMYFUNCTION("""COMPUTED_VALUE"""),42756.54961476044)</f>
        <v>42756.54961</v>
      </c>
      <c r="C1676" s="1" t="str">
        <f>IFERROR(__xludf.DUMMYFUNCTION("""COMPUTED_VALUE"""),"treatment")</f>
        <v>treatment</v>
      </c>
      <c r="D1676" s="1" t="str">
        <f>IFERROR(__xludf.DUMMYFUNCTION("""COMPUTED_VALUE"""),"new_page")</f>
        <v>new_page</v>
      </c>
      <c r="E1676" s="1">
        <f>IFERROR(__xludf.DUMMYFUNCTION("""COMPUTED_VALUE"""),1.0)</f>
        <v>1</v>
      </c>
    </row>
    <row r="1677">
      <c r="A1677" s="1">
        <f>IFERROR(__xludf.DUMMYFUNCTION("""COMPUTED_VALUE"""),749672.0)</f>
        <v>749672</v>
      </c>
      <c r="B1677" s="2">
        <f>IFERROR(__xludf.DUMMYFUNCTION("""COMPUTED_VALUE"""),42748.21651122473)</f>
        <v>42748.21651</v>
      </c>
      <c r="C1677" s="1" t="str">
        <f>IFERROR(__xludf.DUMMYFUNCTION("""COMPUTED_VALUE"""),"control")</f>
        <v>control</v>
      </c>
      <c r="D1677" s="1" t="str">
        <f>IFERROR(__xludf.DUMMYFUNCTION("""COMPUTED_VALUE"""),"old_page")</f>
        <v>old_page</v>
      </c>
      <c r="E1677" s="1">
        <f>IFERROR(__xludf.DUMMYFUNCTION("""COMPUTED_VALUE"""),0.0)</f>
        <v>0</v>
      </c>
    </row>
    <row r="1678">
      <c r="A1678" s="1">
        <f>IFERROR(__xludf.DUMMYFUNCTION("""COMPUTED_VALUE"""),819587.0)</f>
        <v>819587</v>
      </c>
      <c r="B1678" s="2">
        <f>IFERROR(__xludf.DUMMYFUNCTION("""COMPUTED_VALUE"""),42739.091242098446)</f>
        <v>42739.09124</v>
      </c>
      <c r="C1678" s="1" t="str">
        <f>IFERROR(__xludf.DUMMYFUNCTION("""COMPUTED_VALUE"""),"treatment")</f>
        <v>treatment</v>
      </c>
      <c r="D1678" s="1" t="str">
        <f>IFERROR(__xludf.DUMMYFUNCTION("""COMPUTED_VALUE"""),"new_page")</f>
        <v>new_page</v>
      </c>
      <c r="E1678" s="1">
        <f>IFERROR(__xludf.DUMMYFUNCTION("""COMPUTED_VALUE"""),0.0)</f>
        <v>0</v>
      </c>
    </row>
    <row r="1679">
      <c r="A1679" s="1">
        <f>IFERROR(__xludf.DUMMYFUNCTION("""COMPUTED_VALUE"""),898743.0)</f>
        <v>898743</v>
      </c>
      <c r="B1679" s="2">
        <f>IFERROR(__xludf.DUMMYFUNCTION("""COMPUTED_VALUE"""),42742.894701398574)</f>
        <v>42742.8947</v>
      </c>
      <c r="C1679" s="1" t="str">
        <f>IFERROR(__xludf.DUMMYFUNCTION("""COMPUTED_VALUE"""),"control")</f>
        <v>control</v>
      </c>
      <c r="D1679" s="1" t="str">
        <f>IFERROR(__xludf.DUMMYFUNCTION("""COMPUTED_VALUE"""),"old_page")</f>
        <v>old_page</v>
      </c>
      <c r="E1679" s="1">
        <f>IFERROR(__xludf.DUMMYFUNCTION("""COMPUTED_VALUE"""),0.0)</f>
        <v>0</v>
      </c>
    </row>
    <row r="1680">
      <c r="A1680" s="1">
        <f>IFERROR(__xludf.DUMMYFUNCTION("""COMPUTED_VALUE"""),928785.0)</f>
        <v>928785</v>
      </c>
      <c r="B1680" s="2">
        <f>IFERROR(__xludf.DUMMYFUNCTION("""COMPUTED_VALUE"""),42756.841947105844)</f>
        <v>42756.84195</v>
      </c>
      <c r="C1680" s="1" t="str">
        <f>IFERROR(__xludf.DUMMYFUNCTION("""COMPUTED_VALUE"""),"control")</f>
        <v>control</v>
      </c>
      <c r="D1680" s="1" t="str">
        <f>IFERROR(__xludf.DUMMYFUNCTION("""COMPUTED_VALUE"""),"old_page")</f>
        <v>old_page</v>
      </c>
      <c r="E1680" s="1">
        <f>IFERROR(__xludf.DUMMYFUNCTION("""COMPUTED_VALUE"""),0.0)</f>
        <v>0</v>
      </c>
    </row>
    <row r="1681">
      <c r="A1681" s="1">
        <f>IFERROR(__xludf.DUMMYFUNCTION("""COMPUTED_VALUE"""),909169.0)</f>
        <v>909169</v>
      </c>
      <c r="B1681" s="2">
        <f>IFERROR(__xludf.DUMMYFUNCTION("""COMPUTED_VALUE"""),42748.216226862234)</f>
        <v>42748.21623</v>
      </c>
      <c r="C1681" s="1" t="str">
        <f>IFERROR(__xludf.DUMMYFUNCTION("""COMPUTED_VALUE"""),"control")</f>
        <v>control</v>
      </c>
      <c r="D1681" s="1" t="str">
        <f>IFERROR(__xludf.DUMMYFUNCTION("""COMPUTED_VALUE"""),"old_page")</f>
        <v>old_page</v>
      </c>
      <c r="E1681" s="1">
        <f>IFERROR(__xludf.DUMMYFUNCTION("""COMPUTED_VALUE"""),0.0)</f>
        <v>0</v>
      </c>
    </row>
    <row r="1682">
      <c r="A1682" s="1">
        <f>IFERROR(__xludf.DUMMYFUNCTION("""COMPUTED_VALUE"""),899934.0)</f>
        <v>899934</v>
      </c>
      <c r="B1682" s="2">
        <f>IFERROR(__xludf.DUMMYFUNCTION("""COMPUTED_VALUE"""),42745.07305415094)</f>
        <v>42745.07305</v>
      </c>
      <c r="C1682" s="1" t="str">
        <f>IFERROR(__xludf.DUMMYFUNCTION("""COMPUTED_VALUE"""),"treatment")</f>
        <v>treatment</v>
      </c>
      <c r="D1682" s="1" t="str">
        <f>IFERROR(__xludf.DUMMYFUNCTION("""COMPUTED_VALUE"""),"new_page")</f>
        <v>new_page</v>
      </c>
      <c r="E1682" s="1">
        <f>IFERROR(__xludf.DUMMYFUNCTION("""COMPUTED_VALUE"""),0.0)</f>
        <v>0</v>
      </c>
    </row>
    <row r="1683">
      <c r="A1683" s="1">
        <f>IFERROR(__xludf.DUMMYFUNCTION("""COMPUTED_VALUE"""),775039.0)</f>
        <v>775039</v>
      </c>
      <c r="B1683" s="2">
        <f>IFERROR(__xludf.DUMMYFUNCTION("""COMPUTED_VALUE"""),42738.31745776165)</f>
        <v>42738.31746</v>
      </c>
      <c r="C1683" s="1" t="str">
        <f>IFERROR(__xludf.DUMMYFUNCTION("""COMPUTED_VALUE"""),"treatment")</f>
        <v>treatment</v>
      </c>
      <c r="D1683" s="1" t="str">
        <f>IFERROR(__xludf.DUMMYFUNCTION("""COMPUTED_VALUE"""),"new_page")</f>
        <v>new_page</v>
      </c>
      <c r="E1683" s="1">
        <f>IFERROR(__xludf.DUMMYFUNCTION("""COMPUTED_VALUE"""),0.0)</f>
        <v>0</v>
      </c>
    </row>
    <row r="1684">
      <c r="A1684" s="1">
        <f>IFERROR(__xludf.DUMMYFUNCTION("""COMPUTED_VALUE"""),930598.0)</f>
        <v>930598</v>
      </c>
      <c r="B1684" s="2">
        <f>IFERROR(__xludf.DUMMYFUNCTION("""COMPUTED_VALUE"""),42746.43582379014)</f>
        <v>42746.43582</v>
      </c>
      <c r="C1684" s="1" t="str">
        <f>IFERROR(__xludf.DUMMYFUNCTION("""COMPUTED_VALUE"""),"treatment")</f>
        <v>treatment</v>
      </c>
      <c r="D1684" s="1" t="str">
        <f>IFERROR(__xludf.DUMMYFUNCTION("""COMPUTED_VALUE"""),"new_page")</f>
        <v>new_page</v>
      </c>
      <c r="E1684" s="1">
        <f>IFERROR(__xludf.DUMMYFUNCTION("""COMPUTED_VALUE"""),0.0)</f>
        <v>0</v>
      </c>
    </row>
    <row r="1685">
      <c r="A1685" s="1">
        <f>IFERROR(__xludf.DUMMYFUNCTION("""COMPUTED_VALUE"""),869879.0)</f>
        <v>869879</v>
      </c>
      <c r="B1685" s="2">
        <f>IFERROR(__xludf.DUMMYFUNCTION("""COMPUTED_VALUE"""),42741.56812453799)</f>
        <v>42741.56812</v>
      </c>
      <c r="C1685" s="1" t="str">
        <f>IFERROR(__xludf.DUMMYFUNCTION("""COMPUTED_VALUE"""),"treatment")</f>
        <v>treatment</v>
      </c>
      <c r="D1685" s="1" t="str">
        <f>IFERROR(__xludf.DUMMYFUNCTION("""COMPUTED_VALUE"""),"new_page")</f>
        <v>new_page</v>
      </c>
      <c r="E1685" s="1">
        <f>IFERROR(__xludf.DUMMYFUNCTION("""COMPUTED_VALUE"""),0.0)</f>
        <v>0</v>
      </c>
    </row>
    <row r="1686">
      <c r="A1686" s="1">
        <f>IFERROR(__xludf.DUMMYFUNCTION("""COMPUTED_VALUE"""),689394.0)</f>
        <v>689394</v>
      </c>
      <c r="B1686" s="2">
        <f>IFERROR(__xludf.DUMMYFUNCTION("""COMPUTED_VALUE"""),42742.19728535138)</f>
        <v>42742.19729</v>
      </c>
      <c r="C1686" s="1" t="str">
        <f>IFERROR(__xludf.DUMMYFUNCTION("""COMPUTED_VALUE"""),"treatment")</f>
        <v>treatment</v>
      </c>
      <c r="D1686" s="1" t="str">
        <f>IFERROR(__xludf.DUMMYFUNCTION("""COMPUTED_VALUE"""),"new_page")</f>
        <v>new_page</v>
      </c>
      <c r="E1686" s="1">
        <f>IFERROR(__xludf.DUMMYFUNCTION("""COMPUTED_VALUE"""),0.0)</f>
        <v>0</v>
      </c>
    </row>
    <row r="1687">
      <c r="A1687" s="1">
        <f>IFERROR(__xludf.DUMMYFUNCTION("""COMPUTED_VALUE"""),737376.0)</f>
        <v>737376</v>
      </c>
      <c r="B1687" s="2">
        <f>IFERROR(__xludf.DUMMYFUNCTION("""COMPUTED_VALUE"""),42747.19121747828)</f>
        <v>42747.19122</v>
      </c>
      <c r="C1687" s="1" t="str">
        <f>IFERROR(__xludf.DUMMYFUNCTION("""COMPUTED_VALUE"""),"control")</f>
        <v>control</v>
      </c>
      <c r="D1687" s="1" t="str">
        <f>IFERROR(__xludf.DUMMYFUNCTION("""COMPUTED_VALUE"""),"old_page")</f>
        <v>old_page</v>
      </c>
      <c r="E1687" s="1">
        <f>IFERROR(__xludf.DUMMYFUNCTION("""COMPUTED_VALUE"""),0.0)</f>
        <v>0</v>
      </c>
    </row>
    <row r="1688">
      <c r="A1688" s="1">
        <f>IFERROR(__xludf.DUMMYFUNCTION("""COMPUTED_VALUE"""),665829.0)</f>
        <v>665829</v>
      </c>
      <c r="B1688" s="2">
        <f>IFERROR(__xludf.DUMMYFUNCTION("""COMPUTED_VALUE"""),42738.26238802339)</f>
        <v>42738.26239</v>
      </c>
      <c r="C1688" s="1" t="str">
        <f>IFERROR(__xludf.DUMMYFUNCTION("""COMPUTED_VALUE"""),"treatment")</f>
        <v>treatment</v>
      </c>
      <c r="D1688" s="1" t="str">
        <f>IFERROR(__xludf.DUMMYFUNCTION("""COMPUTED_VALUE"""),"new_page")</f>
        <v>new_page</v>
      </c>
      <c r="E1688" s="1">
        <f>IFERROR(__xludf.DUMMYFUNCTION("""COMPUTED_VALUE"""),0.0)</f>
        <v>0</v>
      </c>
    </row>
    <row r="1689">
      <c r="A1689" s="1">
        <f>IFERROR(__xludf.DUMMYFUNCTION("""COMPUTED_VALUE"""),884256.0)</f>
        <v>884256</v>
      </c>
      <c r="B1689" s="2">
        <f>IFERROR(__xludf.DUMMYFUNCTION("""COMPUTED_VALUE"""),42750.7668680181)</f>
        <v>42750.76687</v>
      </c>
      <c r="C1689" s="1" t="str">
        <f>IFERROR(__xludf.DUMMYFUNCTION("""COMPUTED_VALUE"""),"treatment")</f>
        <v>treatment</v>
      </c>
      <c r="D1689" s="1" t="str">
        <f>IFERROR(__xludf.DUMMYFUNCTION("""COMPUTED_VALUE"""),"new_page")</f>
        <v>new_page</v>
      </c>
      <c r="E1689" s="1">
        <f>IFERROR(__xludf.DUMMYFUNCTION("""COMPUTED_VALUE"""),1.0)</f>
        <v>1</v>
      </c>
    </row>
    <row r="1690">
      <c r="A1690" s="1">
        <f>IFERROR(__xludf.DUMMYFUNCTION("""COMPUTED_VALUE"""),904825.0)</f>
        <v>904825</v>
      </c>
      <c r="B1690" s="2">
        <f>IFERROR(__xludf.DUMMYFUNCTION("""COMPUTED_VALUE"""),42744.694368276745)</f>
        <v>42744.69437</v>
      </c>
      <c r="C1690" s="1" t="str">
        <f>IFERROR(__xludf.DUMMYFUNCTION("""COMPUTED_VALUE"""),"control")</f>
        <v>control</v>
      </c>
      <c r="D1690" s="1" t="str">
        <f>IFERROR(__xludf.DUMMYFUNCTION("""COMPUTED_VALUE"""),"old_page")</f>
        <v>old_page</v>
      </c>
      <c r="E1690" s="1">
        <f>IFERROR(__xludf.DUMMYFUNCTION("""COMPUTED_VALUE"""),0.0)</f>
        <v>0</v>
      </c>
    </row>
    <row r="1691">
      <c r="A1691" s="1">
        <f>IFERROR(__xludf.DUMMYFUNCTION("""COMPUTED_VALUE"""),815033.0)</f>
        <v>815033</v>
      </c>
      <c r="B1691" s="2">
        <f>IFERROR(__xludf.DUMMYFUNCTION("""COMPUTED_VALUE"""),42755.94348148381)</f>
        <v>42755.94348</v>
      </c>
      <c r="C1691" s="1" t="str">
        <f>IFERROR(__xludf.DUMMYFUNCTION("""COMPUTED_VALUE"""),"treatment")</f>
        <v>treatment</v>
      </c>
      <c r="D1691" s="1" t="str">
        <f>IFERROR(__xludf.DUMMYFUNCTION("""COMPUTED_VALUE"""),"new_page")</f>
        <v>new_page</v>
      </c>
      <c r="E1691" s="1">
        <f>IFERROR(__xludf.DUMMYFUNCTION("""COMPUTED_VALUE"""),0.0)</f>
        <v>0</v>
      </c>
    </row>
    <row r="1692">
      <c r="A1692" s="1">
        <f>IFERROR(__xludf.DUMMYFUNCTION("""COMPUTED_VALUE"""),823743.0)</f>
        <v>823743</v>
      </c>
      <c r="B1692" s="2">
        <f>IFERROR(__xludf.DUMMYFUNCTION("""COMPUTED_VALUE"""),42747.41481741979)</f>
        <v>42747.41482</v>
      </c>
      <c r="C1692" s="1" t="str">
        <f>IFERROR(__xludf.DUMMYFUNCTION("""COMPUTED_VALUE"""),"control")</f>
        <v>control</v>
      </c>
      <c r="D1692" s="1" t="str">
        <f>IFERROR(__xludf.DUMMYFUNCTION("""COMPUTED_VALUE"""),"old_page")</f>
        <v>old_page</v>
      </c>
      <c r="E1692" s="1">
        <f>IFERROR(__xludf.DUMMYFUNCTION("""COMPUTED_VALUE"""),1.0)</f>
        <v>1</v>
      </c>
    </row>
    <row r="1693">
      <c r="A1693" s="1">
        <f>IFERROR(__xludf.DUMMYFUNCTION("""COMPUTED_VALUE"""),872709.0)</f>
        <v>872709</v>
      </c>
      <c r="B1693" s="2">
        <f>IFERROR(__xludf.DUMMYFUNCTION("""COMPUTED_VALUE"""),42749.43606487623)</f>
        <v>42749.43606</v>
      </c>
      <c r="C1693" s="1" t="str">
        <f>IFERROR(__xludf.DUMMYFUNCTION("""COMPUTED_VALUE"""),"treatment")</f>
        <v>treatment</v>
      </c>
      <c r="D1693" s="1" t="str">
        <f>IFERROR(__xludf.DUMMYFUNCTION("""COMPUTED_VALUE"""),"new_page")</f>
        <v>new_page</v>
      </c>
      <c r="E1693" s="1">
        <f>IFERROR(__xludf.DUMMYFUNCTION("""COMPUTED_VALUE"""),0.0)</f>
        <v>0</v>
      </c>
    </row>
    <row r="1694">
      <c r="A1694" s="1">
        <f>IFERROR(__xludf.DUMMYFUNCTION("""COMPUTED_VALUE"""),885304.0)</f>
        <v>885304</v>
      </c>
      <c r="B1694" s="2">
        <f>IFERROR(__xludf.DUMMYFUNCTION("""COMPUTED_VALUE"""),42741.83596177955)</f>
        <v>42741.83596</v>
      </c>
      <c r="C1694" s="1" t="str">
        <f>IFERROR(__xludf.DUMMYFUNCTION("""COMPUTED_VALUE"""),"treatment")</f>
        <v>treatment</v>
      </c>
      <c r="D1694" s="1" t="str">
        <f>IFERROR(__xludf.DUMMYFUNCTION("""COMPUTED_VALUE"""),"new_page")</f>
        <v>new_page</v>
      </c>
      <c r="E1694" s="1">
        <f>IFERROR(__xludf.DUMMYFUNCTION("""COMPUTED_VALUE"""),0.0)</f>
        <v>0</v>
      </c>
    </row>
    <row r="1695">
      <c r="A1695" s="1">
        <f>IFERROR(__xludf.DUMMYFUNCTION("""COMPUTED_VALUE"""),730456.0)</f>
        <v>730456</v>
      </c>
      <c r="B1695" s="2">
        <f>IFERROR(__xludf.DUMMYFUNCTION("""COMPUTED_VALUE"""),42741.86628119917)</f>
        <v>42741.86628</v>
      </c>
      <c r="C1695" s="1" t="str">
        <f>IFERROR(__xludf.DUMMYFUNCTION("""COMPUTED_VALUE"""),"control")</f>
        <v>control</v>
      </c>
      <c r="D1695" s="1" t="str">
        <f>IFERROR(__xludf.DUMMYFUNCTION("""COMPUTED_VALUE"""),"old_page")</f>
        <v>old_page</v>
      </c>
      <c r="E1695" s="1">
        <f>IFERROR(__xludf.DUMMYFUNCTION("""COMPUTED_VALUE"""),0.0)</f>
        <v>0</v>
      </c>
    </row>
    <row r="1696">
      <c r="A1696" s="1">
        <f>IFERROR(__xludf.DUMMYFUNCTION("""COMPUTED_VALUE"""),928811.0)</f>
        <v>928811</v>
      </c>
      <c r="B1696" s="2">
        <f>IFERROR(__xludf.DUMMYFUNCTION("""COMPUTED_VALUE"""),42740.888655999224)</f>
        <v>42740.88866</v>
      </c>
      <c r="C1696" s="1" t="str">
        <f>IFERROR(__xludf.DUMMYFUNCTION("""COMPUTED_VALUE"""),"treatment")</f>
        <v>treatment</v>
      </c>
      <c r="D1696" s="1" t="str">
        <f>IFERROR(__xludf.DUMMYFUNCTION("""COMPUTED_VALUE"""),"new_page")</f>
        <v>new_page</v>
      </c>
      <c r="E1696" s="1">
        <f>IFERROR(__xludf.DUMMYFUNCTION("""COMPUTED_VALUE"""),0.0)</f>
        <v>0</v>
      </c>
    </row>
    <row r="1697">
      <c r="A1697" s="1">
        <f>IFERROR(__xludf.DUMMYFUNCTION("""COMPUTED_VALUE"""),694682.0)</f>
        <v>694682</v>
      </c>
      <c r="B1697" s="2">
        <f>IFERROR(__xludf.DUMMYFUNCTION("""COMPUTED_VALUE"""),42743.79794521501)</f>
        <v>42743.79795</v>
      </c>
      <c r="C1697" s="1" t="str">
        <f>IFERROR(__xludf.DUMMYFUNCTION("""COMPUTED_VALUE"""),"treatment")</f>
        <v>treatment</v>
      </c>
      <c r="D1697" s="1" t="str">
        <f>IFERROR(__xludf.DUMMYFUNCTION("""COMPUTED_VALUE"""),"new_page")</f>
        <v>new_page</v>
      </c>
      <c r="E1697" s="1">
        <f>IFERROR(__xludf.DUMMYFUNCTION("""COMPUTED_VALUE"""),0.0)</f>
        <v>0</v>
      </c>
    </row>
    <row r="1698">
      <c r="A1698" s="1">
        <f>IFERROR(__xludf.DUMMYFUNCTION("""COMPUTED_VALUE"""),660789.0)</f>
        <v>660789</v>
      </c>
      <c r="B1698" s="2">
        <f>IFERROR(__xludf.DUMMYFUNCTION("""COMPUTED_VALUE"""),42758.53926484714)</f>
        <v>42758.53926</v>
      </c>
      <c r="C1698" s="1" t="str">
        <f>IFERROR(__xludf.DUMMYFUNCTION("""COMPUTED_VALUE"""),"treatment")</f>
        <v>treatment</v>
      </c>
      <c r="D1698" s="1" t="str">
        <f>IFERROR(__xludf.DUMMYFUNCTION("""COMPUTED_VALUE"""),"new_page")</f>
        <v>new_page</v>
      </c>
      <c r="E1698" s="1">
        <f>IFERROR(__xludf.DUMMYFUNCTION("""COMPUTED_VALUE"""),0.0)</f>
        <v>0</v>
      </c>
    </row>
    <row r="1699">
      <c r="A1699" s="1">
        <f>IFERROR(__xludf.DUMMYFUNCTION("""COMPUTED_VALUE"""),895342.0)</f>
        <v>895342</v>
      </c>
      <c r="B1699" s="2">
        <f>IFERROR(__xludf.DUMMYFUNCTION("""COMPUTED_VALUE"""),42750.84682763521)</f>
        <v>42750.84683</v>
      </c>
      <c r="C1699" s="1" t="str">
        <f>IFERROR(__xludf.DUMMYFUNCTION("""COMPUTED_VALUE"""),"treatment")</f>
        <v>treatment</v>
      </c>
      <c r="D1699" s="1" t="str">
        <f>IFERROR(__xludf.DUMMYFUNCTION("""COMPUTED_VALUE"""),"new_page")</f>
        <v>new_page</v>
      </c>
      <c r="E1699" s="1">
        <f>IFERROR(__xludf.DUMMYFUNCTION("""COMPUTED_VALUE"""),0.0)</f>
        <v>0</v>
      </c>
    </row>
    <row r="1700">
      <c r="A1700" s="1">
        <f>IFERROR(__xludf.DUMMYFUNCTION("""COMPUTED_VALUE"""),693754.0)</f>
        <v>693754</v>
      </c>
      <c r="B1700" s="2">
        <f>IFERROR(__xludf.DUMMYFUNCTION("""COMPUTED_VALUE"""),42743.531984926645)</f>
        <v>42743.53198</v>
      </c>
      <c r="C1700" s="1" t="str">
        <f>IFERROR(__xludf.DUMMYFUNCTION("""COMPUTED_VALUE"""),"control")</f>
        <v>control</v>
      </c>
      <c r="D1700" s="1" t="str">
        <f>IFERROR(__xludf.DUMMYFUNCTION("""COMPUTED_VALUE"""),"old_page")</f>
        <v>old_page</v>
      </c>
      <c r="E1700" s="1">
        <f>IFERROR(__xludf.DUMMYFUNCTION("""COMPUTED_VALUE"""),0.0)</f>
        <v>0</v>
      </c>
    </row>
    <row r="1701">
      <c r="A1701" s="1">
        <f>IFERROR(__xludf.DUMMYFUNCTION("""COMPUTED_VALUE"""),735526.0)</f>
        <v>735526</v>
      </c>
      <c r="B1701" s="2">
        <f>IFERROR(__xludf.DUMMYFUNCTION("""COMPUTED_VALUE"""),42739.27828695308)</f>
        <v>42739.27829</v>
      </c>
      <c r="C1701" s="1" t="str">
        <f>IFERROR(__xludf.DUMMYFUNCTION("""COMPUTED_VALUE"""),"treatment")</f>
        <v>treatment</v>
      </c>
      <c r="D1701" s="1" t="str">
        <f>IFERROR(__xludf.DUMMYFUNCTION("""COMPUTED_VALUE"""),"new_page")</f>
        <v>new_page</v>
      </c>
      <c r="E1701" s="1">
        <f>IFERROR(__xludf.DUMMYFUNCTION("""COMPUTED_VALUE"""),1.0)</f>
        <v>1</v>
      </c>
    </row>
    <row r="1702">
      <c r="A1702" s="1">
        <f>IFERROR(__xludf.DUMMYFUNCTION("""COMPUTED_VALUE"""),832615.0)</f>
        <v>832615</v>
      </c>
      <c r="B1702" s="2">
        <f>IFERROR(__xludf.DUMMYFUNCTION("""COMPUTED_VALUE"""),42753.516442148866)</f>
        <v>42753.51644</v>
      </c>
      <c r="C1702" s="1" t="str">
        <f>IFERROR(__xludf.DUMMYFUNCTION("""COMPUTED_VALUE"""),"treatment")</f>
        <v>treatment</v>
      </c>
      <c r="D1702" s="1" t="str">
        <f>IFERROR(__xludf.DUMMYFUNCTION("""COMPUTED_VALUE"""),"new_page")</f>
        <v>new_page</v>
      </c>
      <c r="E1702" s="1">
        <f>IFERROR(__xludf.DUMMYFUNCTION("""COMPUTED_VALUE"""),0.0)</f>
        <v>0</v>
      </c>
    </row>
    <row r="1703">
      <c r="A1703" s="1">
        <f>IFERROR(__xludf.DUMMYFUNCTION("""COMPUTED_VALUE"""),906276.0)</f>
        <v>906276</v>
      </c>
      <c r="B1703" s="2">
        <f>IFERROR(__xludf.DUMMYFUNCTION("""COMPUTED_VALUE"""),42747.80866018193)</f>
        <v>42747.80866</v>
      </c>
      <c r="C1703" s="1" t="str">
        <f>IFERROR(__xludf.DUMMYFUNCTION("""COMPUTED_VALUE"""),"control")</f>
        <v>control</v>
      </c>
      <c r="D1703" s="1" t="str">
        <f>IFERROR(__xludf.DUMMYFUNCTION("""COMPUTED_VALUE"""),"old_page")</f>
        <v>old_page</v>
      </c>
      <c r="E1703" s="1">
        <f>IFERROR(__xludf.DUMMYFUNCTION("""COMPUTED_VALUE"""),0.0)</f>
        <v>0</v>
      </c>
    </row>
    <row r="1704">
      <c r="A1704" s="1">
        <f>IFERROR(__xludf.DUMMYFUNCTION("""COMPUTED_VALUE"""),746580.0)</f>
        <v>746580</v>
      </c>
      <c r="B1704" s="2">
        <f>IFERROR(__xludf.DUMMYFUNCTION("""COMPUTED_VALUE"""),42746.32539720838)</f>
        <v>42746.3254</v>
      </c>
      <c r="C1704" s="1" t="str">
        <f>IFERROR(__xludf.DUMMYFUNCTION("""COMPUTED_VALUE"""),"treatment")</f>
        <v>treatment</v>
      </c>
      <c r="D1704" s="1" t="str">
        <f>IFERROR(__xludf.DUMMYFUNCTION("""COMPUTED_VALUE"""),"new_page")</f>
        <v>new_page</v>
      </c>
      <c r="E1704" s="1">
        <f>IFERROR(__xludf.DUMMYFUNCTION("""COMPUTED_VALUE"""),1.0)</f>
        <v>1</v>
      </c>
    </row>
    <row r="1705">
      <c r="A1705" s="1">
        <f>IFERROR(__xludf.DUMMYFUNCTION("""COMPUTED_VALUE"""),710418.0)</f>
        <v>710418</v>
      </c>
      <c r="B1705" s="2">
        <f>IFERROR(__xludf.DUMMYFUNCTION("""COMPUTED_VALUE"""),42756.86590566778)</f>
        <v>42756.86591</v>
      </c>
      <c r="C1705" s="1" t="str">
        <f>IFERROR(__xludf.DUMMYFUNCTION("""COMPUTED_VALUE"""),"treatment")</f>
        <v>treatment</v>
      </c>
      <c r="D1705" s="1" t="str">
        <f>IFERROR(__xludf.DUMMYFUNCTION("""COMPUTED_VALUE"""),"new_page")</f>
        <v>new_page</v>
      </c>
      <c r="E1705" s="1">
        <f>IFERROR(__xludf.DUMMYFUNCTION("""COMPUTED_VALUE"""),0.0)</f>
        <v>0</v>
      </c>
    </row>
    <row r="1706">
      <c r="A1706" s="1">
        <f>IFERROR(__xludf.DUMMYFUNCTION("""COMPUTED_VALUE"""),753883.0)</f>
        <v>753883</v>
      </c>
      <c r="B1706" s="2">
        <f>IFERROR(__xludf.DUMMYFUNCTION("""COMPUTED_VALUE"""),42754.16310641911)</f>
        <v>42754.16311</v>
      </c>
      <c r="C1706" s="1" t="str">
        <f>IFERROR(__xludf.DUMMYFUNCTION("""COMPUTED_VALUE"""),"control")</f>
        <v>control</v>
      </c>
      <c r="D1706" s="1" t="str">
        <f>IFERROR(__xludf.DUMMYFUNCTION("""COMPUTED_VALUE"""),"old_page")</f>
        <v>old_page</v>
      </c>
      <c r="E1706" s="1">
        <f>IFERROR(__xludf.DUMMYFUNCTION("""COMPUTED_VALUE"""),0.0)</f>
        <v>0</v>
      </c>
    </row>
    <row r="1707">
      <c r="A1707" s="1">
        <f>IFERROR(__xludf.DUMMYFUNCTION("""COMPUTED_VALUE"""),855778.0)</f>
        <v>855778</v>
      </c>
      <c r="B1707" s="2">
        <f>IFERROR(__xludf.DUMMYFUNCTION("""COMPUTED_VALUE"""),42751.96741128605)</f>
        <v>42751.96741</v>
      </c>
      <c r="C1707" s="1" t="str">
        <f>IFERROR(__xludf.DUMMYFUNCTION("""COMPUTED_VALUE"""),"control")</f>
        <v>control</v>
      </c>
      <c r="D1707" s="1" t="str">
        <f>IFERROR(__xludf.DUMMYFUNCTION("""COMPUTED_VALUE"""),"old_page")</f>
        <v>old_page</v>
      </c>
      <c r="E1707" s="1">
        <f>IFERROR(__xludf.DUMMYFUNCTION("""COMPUTED_VALUE"""),0.0)</f>
        <v>0</v>
      </c>
    </row>
    <row r="1708">
      <c r="A1708" s="1">
        <f>IFERROR(__xludf.DUMMYFUNCTION("""COMPUTED_VALUE"""),916207.0)</f>
        <v>916207</v>
      </c>
      <c r="B1708" s="2">
        <f>IFERROR(__xludf.DUMMYFUNCTION("""COMPUTED_VALUE"""),42755.495598183006)</f>
        <v>42755.4956</v>
      </c>
      <c r="C1708" s="1" t="str">
        <f>IFERROR(__xludf.DUMMYFUNCTION("""COMPUTED_VALUE"""),"treatment")</f>
        <v>treatment</v>
      </c>
      <c r="D1708" s="1" t="str">
        <f>IFERROR(__xludf.DUMMYFUNCTION("""COMPUTED_VALUE"""),"old_page")</f>
        <v>old_page</v>
      </c>
      <c r="E1708" s="1">
        <f>IFERROR(__xludf.DUMMYFUNCTION("""COMPUTED_VALUE"""),0.0)</f>
        <v>0</v>
      </c>
    </row>
    <row r="1709">
      <c r="A1709" s="1">
        <f>IFERROR(__xludf.DUMMYFUNCTION("""COMPUTED_VALUE"""),939150.0)</f>
        <v>939150</v>
      </c>
      <c r="B1709" s="2">
        <f>IFERROR(__xludf.DUMMYFUNCTION("""COMPUTED_VALUE"""),42752.087811246645)</f>
        <v>42752.08781</v>
      </c>
      <c r="C1709" s="1" t="str">
        <f>IFERROR(__xludf.DUMMYFUNCTION("""COMPUTED_VALUE"""),"treatment")</f>
        <v>treatment</v>
      </c>
      <c r="D1709" s="1" t="str">
        <f>IFERROR(__xludf.DUMMYFUNCTION("""COMPUTED_VALUE"""),"new_page")</f>
        <v>new_page</v>
      </c>
      <c r="E1709" s="1">
        <f>IFERROR(__xludf.DUMMYFUNCTION("""COMPUTED_VALUE"""),0.0)</f>
        <v>0</v>
      </c>
    </row>
    <row r="1710">
      <c r="A1710" s="1">
        <f>IFERROR(__xludf.DUMMYFUNCTION("""COMPUTED_VALUE"""),846027.0)</f>
        <v>846027</v>
      </c>
      <c r="B1710" s="2">
        <f>IFERROR(__xludf.DUMMYFUNCTION("""COMPUTED_VALUE"""),42749.08752668545)</f>
        <v>42749.08753</v>
      </c>
      <c r="C1710" s="1" t="str">
        <f>IFERROR(__xludf.DUMMYFUNCTION("""COMPUTED_VALUE"""),"control")</f>
        <v>control</v>
      </c>
      <c r="D1710" s="1" t="str">
        <f>IFERROR(__xludf.DUMMYFUNCTION("""COMPUTED_VALUE"""),"old_page")</f>
        <v>old_page</v>
      </c>
      <c r="E1710" s="1">
        <f>IFERROR(__xludf.DUMMYFUNCTION("""COMPUTED_VALUE"""),1.0)</f>
        <v>1</v>
      </c>
    </row>
    <row r="1711">
      <c r="A1711" s="1">
        <f>IFERROR(__xludf.DUMMYFUNCTION("""COMPUTED_VALUE"""),790765.0)</f>
        <v>790765</v>
      </c>
      <c r="B1711" s="2">
        <f>IFERROR(__xludf.DUMMYFUNCTION("""COMPUTED_VALUE"""),42740.96986976949)</f>
        <v>42740.96987</v>
      </c>
      <c r="C1711" s="1" t="str">
        <f>IFERROR(__xludf.DUMMYFUNCTION("""COMPUTED_VALUE"""),"control")</f>
        <v>control</v>
      </c>
      <c r="D1711" s="1" t="str">
        <f>IFERROR(__xludf.DUMMYFUNCTION("""COMPUTED_VALUE"""),"old_page")</f>
        <v>old_page</v>
      </c>
      <c r="E1711" s="1">
        <f>IFERROR(__xludf.DUMMYFUNCTION("""COMPUTED_VALUE"""),0.0)</f>
        <v>0</v>
      </c>
    </row>
    <row r="1712">
      <c r="A1712" s="1">
        <f>IFERROR(__xludf.DUMMYFUNCTION("""COMPUTED_VALUE"""),926122.0)</f>
        <v>926122</v>
      </c>
      <c r="B1712" s="2">
        <f>IFERROR(__xludf.DUMMYFUNCTION("""COMPUTED_VALUE"""),42751.32551437405)</f>
        <v>42751.32551</v>
      </c>
      <c r="C1712" s="1" t="str">
        <f>IFERROR(__xludf.DUMMYFUNCTION("""COMPUTED_VALUE"""),"control")</f>
        <v>control</v>
      </c>
      <c r="D1712" s="1" t="str">
        <f>IFERROR(__xludf.DUMMYFUNCTION("""COMPUTED_VALUE"""),"old_page")</f>
        <v>old_page</v>
      </c>
      <c r="E1712" s="1">
        <f>IFERROR(__xludf.DUMMYFUNCTION("""COMPUTED_VALUE"""),0.0)</f>
        <v>0</v>
      </c>
    </row>
    <row r="1713">
      <c r="A1713" s="1">
        <f>IFERROR(__xludf.DUMMYFUNCTION("""COMPUTED_VALUE"""),859351.0)</f>
        <v>859351</v>
      </c>
      <c r="B1713" s="2">
        <f>IFERROR(__xludf.DUMMYFUNCTION("""COMPUTED_VALUE"""),42742.01760491513)</f>
        <v>42742.0176</v>
      </c>
      <c r="C1713" s="1" t="str">
        <f>IFERROR(__xludf.DUMMYFUNCTION("""COMPUTED_VALUE"""),"treatment")</f>
        <v>treatment</v>
      </c>
      <c r="D1713" s="1" t="str">
        <f>IFERROR(__xludf.DUMMYFUNCTION("""COMPUTED_VALUE"""),"new_page")</f>
        <v>new_page</v>
      </c>
      <c r="E1713" s="1">
        <f>IFERROR(__xludf.DUMMYFUNCTION("""COMPUTED_VALUE"""),0.0)</f>
        <v>0</v>
      </c>
    </row>
    <row r="1714">
      <c r="A1714" s="1">
        <f>IFERROR(__xludf.DUMMYFUNCTION("""COMPUTED_VALUE"""),828237.0)</f>
        <v>828237</v>
      </c>
      <c r="B1714" s="2">
        <f>IFERROR(__xludf.DUMMYFUNCTION("""COMPUTED_VALUE"""),42746.37065617451)</f>
        <v>42746.37066</v>
      </c>
      <c r="C1714" s="1" t="str">
        <f>IFERROR(__xludf.DUMMYFUNCTION("""COMPUTED_VALUE"""),"treatment")</f>
        <v>treatment</v>
      </c>
      <c r="D1714" s="1" t="str">
        <f>IFERROR(__xludf.DUMMYFUNCTION("""COMPUTED_VALUE"""),"new_page")</f>
        <v>new_page</v>
      </c>
      <c r="E1714" s="1">
        <f>IFERROR(__xludf.DUMMYFUNCTION("""COMPUTED_VALUE"""),1.0)</f>
        <v>1</v>
      </c>
    </row>
    <row r="1715">
      <c r="A1715" s="1">
        <f>IFERROR(__xludf.DUMMYFUNCTION("""COMPUTED_VALUE"""),838833.0)</f>
        <v>838833</v>
      </c>
      <c r="B1715" s="2">
        <f>IFERROR(__xludf.DUMMYFUNCTION("""COMPUTED_VALUE"""),42749.71759960429)</f>
        <v>42749.7176</v>
      </c>
      <c r="C1715" s="1" t="str">
        <f>IFERROR(__xludf.DUMMYFUNCTION("""COMPUTED_VALUE"""),"control")</f>
        <v>control</v>
      </c>
      <c r="D1715" s="1" t="str">
        <f>IFERROR(__xludf.DUMMYFUNCTION("""COMPUTED_VALUE"""),"old_page")</f>
        <v>old_page</v>
      </c>
      <c r="E1715" s="1">
        <f>IFERROR(__xludf.DUMMYFUNCTION("""COMPUTED_VALUE"""),0.0)</f>
        <v>0</v>
      </c>
    </row>
    <row r="1716">
      <c r="A1716" s="1">
        <f>IFERROR(__xludf.DUMMYFUNCTION("""COMPUTED_VALUE"""),853529.0)</f>
        <v>853529</v>
      </c>
      <c r="B1716" s="2">
        <f>IFERROR(__xludf.DUMMYFUNCTION("""COMPUTED_VALUE"""),42758.785050495266)</f>
        <v>42758.78505</v>
      </c>
      <c r="C1716" s="1" t="str">
        <f>IFERROR(__xludf.DUMMYFUNCTION("""COMPUTED_VALUE"""),"treatment")</f>
        <v>treatment</v>
      </c>
      <c r="D1716" s="1" t="str">
        <f>IFERROR(__xludf.DUMMYFUNCTION("""COMPUTED_VALUE"""),"new_page")</f>
        <v>new_page</v>
      </c>
      <c r="E1716" s="1">
        <f>IFERROR(__xludf.DUMMYFUNCTION("""COMPUTED_VALUE"""),0.0)</f>
        <v>0</v>
      </c>
    </row>
    <row r="1717">
      <c r="A1717" s="1">
        <f>IFERROR(__xludf.DUMMYFUNCTION("""COMPUTED_VALUE"""),876182.0)</f>
        <v>876182</v>
      </c>
      <c r="B1717" s="2">
        <f>IFERROR(__xludf.DUMMYFUNCTION("""COMPUTED_VALUE"""),42738.80568711554)</f>
        <v>42738.80569</v>
      </c>
      <c r="C1717" s="1" t="str">
        <f>IFERROR(__xludf.DUMMYFUNCTION("""COMPUTED_VALUE"""),"control")</f>
        <v>control</v>
      </c>
      <c r="D1717" s="1" t="str">
        <f>IFERROR(__xludf.DUMMYFUNCTION("""COMPUTED_VALUE"""),"old_page")</f>
        <v>old_page</v>
      </c>
      <c r="E1717" s="1">
        <f>IFERROR(__xludf.DUMMYFUNCTION("""COMPUTED_VALUE"""),0.0)</f>
        <v>0</v>
      </c>
    </row>
    <row r="1718">
      <c r="A1718" s="1">
        <f>IFERROR(__xludf.DUMMYFUNCTION("""COMPUTED_VALUE"""),910059.0)</f>
        <v>910059</v>
      </c>
      <c r="B1718" s="2">
        <f>IFERROR(__xludf.DUMMYFUNCTION("""COMPUTED_VALUE"""),42747.58455275213)</f>
        <v>42747.58455</v>
      </c>
      <c r="C1718" s="1" t="str">
        <f>IFERROR(__xludf.DUMMYFUNCTION("""COMPUTED_VALUE"""),"treatment")</f>
        <v>treatment</v>
      </c>
      <c r="D1718" s="1" t="str">
        <f>IFERROR(__xludf.DUMMYFUNCTION("""COMPUTED_VALUE"""),"new_page")</f>
        <v>new_page</v>
      </c>
      <c r="E1718" s="1">
        <f>IFERROR(__xludf.DUMMYFUNCTION("""COMPUTED_VALUE"""),0.0)</f>
        <v>0</v>
      </c>
    </row>
    <row r="1719">
      <c r="A1719" s="1">
        <f>IFERROR(__xludf.DUMMYFUNCTION("""COMPUTED_VALUE"""),704689.0)</f>
        <v>704689</v>
      </c>
      <c r="B1719" s="2">
        <f>IFERROR(__xludf.DUMMYFUNCTION("""COMPUTED_VALUE"""),42756.032649287925)</f>
        <v>42756.03265</v>
      </c>
      <c r="C1719" s="1" t="str">
        <f>IFERROR(__xludf.DUMMYFUNCTION("""COMPUTED_VALUE"""),"treatment")</f>
        <v>treatment</v>
      </c>
      <c r="D1719" s="1" t="str">
        <f>IFERROR(__xludf.DUMMYFUNCTION("""COMPUTED_VALUE"""),"new_page")</f>
        <v>new_page</v>
      </c>
      <c r="E1719" s="1">
        <f>IFERROR(__xludf.DUMMYFUNCTION("""COMPUTED_VALUE"""),0.0)</f>
        <v>0</v>
      </c>
    </row>
    <row r="1720">
      <c r="A1720" s="1">
        <f>IFERROR(__xludf.DUMMYFUNCTION("""COMPUTED_VALUE"""),937608.0)</f>
        <v>937608</v>
      </c>
      <c r="B1720" s="2">
        <f>IFERROR(__xludf.DUMMYFUNCTION("""COMPUTED_VALUE"""),42742.90135028955)</f>
        <v>42742.90135</v>
      </c>
      <c r="C1720" s="1" t="str">
        <f>IFERROR(__xludf.DUMMYFUNCTION("""COMPUTED_VALUE"""),"treatment")</f>
        <v>treatment</v>
      </c>
      <c r="D1720" s="1" t="str">
        <f>IFERROR(__xludf.DUMMYFUNCTION("""COMPUTED_VALUE"""),"new_page")</f>
        <v>new_page</v>
      </c>
      <c r="E1720" s="1">
        <f>IFERROR(__xludf.DUMMYFUNCTION("""COMPUTED_VALUE"""),0.0)</f>
        <v>0</v>
      </c>
    </row>
    <row r="1721">
      <c r="A1721" s="1">
        <f>IFERROR(__xludf.DUMMYFUNCTION("""COMPUTED_VALUE"""),676532.0)</f>
        <v>676532</v>
      </c>
      <c r="B1721" s="2">
        <f>IFERROR(__xludf.DUMMYFUNCTION("""COMPUTED_VALUE"""),42751.517005474)</f>
        <v>42751.51701</v>
      </c>
      <c r="C1721" s="1" t="str">
        <f>IFERROR(__xludf.DUMMYFUNCTION("""COMPUTED_VALUE"""),"treatment")</f>
        <v>treatment</v>
      </c>
      <c r="D1721" s="1" t="str">
        <f>IFERROR(__xludf.DUMMYFUNCTION("""COMPUTED_VALUE"""),"new_page")</f>
        <v>new_page</v>
      </c>
      <c r="E1721" s="1">
        <f>IFERROR(__xludf.DUMMYFUNCTION("""COMPUTED_VALUE"""),0.0)</f>
        <v>0</v>
      </c>
    </row>
    <row r="1722">
      <c r="A1722" s="1">
        <f>IFERROR(__xludf.DUMMYFUNCTION("""COMPUTED_VALUE"""),901242.0)</f>
        <v>901242</v>
      </c>
      <c r="B1722" s="2">
        <f>IFERROR(__xludf.DUMMYFUNCTION("""COMPUTED_VALUE"""),42751.60580328586)</f>
        <v>42751.6058</v>
      </c>
      <c r="C1722" s="1" t="str">
        <f>IFERROR(__xludf.DUMMYFUNCTION("""COMPUTED_VALUE"""),"control")</f>
        <v>control</v>
      </c>
      <c r="D1722" s="1" t="str">
        <f>IFERROR(__xludf.DUMMYFUNCTION("""COMPUTED_VALUE"""),"old_page")</f>
        <v>old_page</v>
      </c>
      <c r="E1722" s="1">
        <f>IFERROR(__xludf.DUMMYFUNCTION("""COMPUTED_VALUE"""),0.0)</f>
        <v>0</v>
      </c>
    </row>
    <row r="1723">
      <c r="A1723" s="1">
        <f>IFERROR(__xludf.DUMMYFUNCTION("""COMPUTED_VALUE"""),916064.0)</f>
        <v>916064</v>
      </c>
      <c r="B1723" s="2">
        <f>IFERROR(__xludf.DUMMYFUNCTION("""COMPUTED_VALUE"""),42749.95120999351)</f>
        <v>42749.95121</v>
      </c>
      <c r="C1723" s="1" t="str">
        <f>IFERROR(__xludf.DUMMYFUNCTION("""COMPUTED_VALUE"""),"treatment")</f>
        <v>treatment</v>
      </c>
      <c r="D1723" s="1" t="str">
        <f>IFERROR(__xludf.DUMMYFUNCTION("""COMPUTED_VALUE"""),"new_page")</f>
        <v>new_page</v>
      </c>
      <c r="E1723" s="1">
        <f>IFERROR(__xludf.DUMMYFUNCTION("""COMPUTED_VALUE"""),1.0)</f>
        <v>1</v>
      </c>
    </row>
    <row r="1724">
      <c r="A1724" s="1">
        <f>IFERROR(__xludf.DUMMYFUNCTION("""COMPUTED_VALUE"""),695439.0)</f>
        <v>695439</v>
      </c>
      <c r="B1724" s="2">
        <f>IFERROR(__xludf.DUMMYFUNCTION("""COMPUTED_VALUE"""),42758.312683616656)</f>
        <v>42758.31268</v>
      </c>
      <c r="C1724" s="1" t="str">
        <f>IFERROR(__xludf.DUMMYFUNCTION("""COMPUTED_VALUE"""),"treatment")</f>
        <v>treatment</v>
      </c>
      <c r="D1724" s="1" t="str">
        <f>IFERROR(__xludf.DUMMYFUNCTION("""COMPUTED_VALUE"""),"new_page")</f>
        <v>new_page</v>
      </c>
      <c r="E1724" s="1">
        <f>IFERROR(__xludf.DUMMYFUNCTION("""COMPUTED_VALUE"""),0.0)</f>
        <v>0</v>
      </c>
    </row>
    <row r="1725">
      <c r="A1725" s="1">
        <f>IFERROR(__xludf.DUMMYFUNCTION("""COMPUTED_VALUE"""),876842.0)</f>
        <v>876842</v>
      </c>
      <c r="B1725" s="2">
        <f>IFERROR(__xludf.DUMMYFUNCTION("""COMPUTED_VALUE"""),42743.402891189595)</f>
        <v>42743.40289</v>
      </c>
      <c r="C1725" s="1" t="str">
        <f>IFERROR(__xludf.DUMMYFUNCTION("""COMPUTED_VALUE"""),"treatment")</f>
        <v>treatment</v>
      </c>
      <c r="D1725" s="1" t="str">
        <f>IFERROR(__xludf.DUMMYFUNCTION("""COMPUTED_VALUE"""),"new_page")</f>
        <v>new_page</v>
      </c>
      <c r="E1725" s="1">
        <f>IFERROR(__xludf.DUMMYFUNCTION("""COMPUTED_VALUE"""),0.0)</f>
        <v>0</v>
      </c>
    </row>
    <row r="1726">
      <c r="A1726" s="1">
        <f>IFERROR(__xludf.DUMMYFUNCTION("""COMPUTED_VALUE"""),673583.0)</f>
        <v>673583</v>
      </c>
      <c r="B1726" s="2">
        <f>IFERROR(__xludf.DUMMYFUNCTION("""COMPUTED_VALUE"""),42738.57121328969)</f>
        <v>42738.57121</v>
      </c>
      <c r="C1726" s="1" t="str">
        <f>IFERROR(__xludf.DUMMYFUNCTION("""COMPUTED_VALUE"""),"control")</f>
        <v>control</v>
      </c>
      <c r="D1726" s="1" t="str">
        <f>IFERROR(__xludf.DUMMYFUNCTION("""COMPUTED_VALUE"""),"old_page")</f>
        <v>old_page</v>
      </c>
      <c r="E1726" s="1">
        <f>IFERROR(__xludf.DUMMYFUNCTION("""COMPUTED_VALUE"""),1.0)</f>
        <v>1</v>
      </c>
    </row>
    <row r="1727">
      <c r="A1727" s="1">
        <f>IFERROR(__xludf.DUMMYFUNCTION("""COMPUTED_VALUE"""),730097.0)</f>
        <v>730097</v>
      </c>
      <c r="B1727" s="2">
        <f>IFERROR(__xludf.DUMMYFUNCTION("""COMPUTED_VALUE"""),42752.73286656987)</f>
        <v>42752.73287</v>
      </c>
      <c r="C1727" s="1" t="str">
        <f>IFERROR(__xludf.DUMMYFUNCTION("""COMPUTED_VALUE"""),"control")</f>
        <v>control</v>
      </c>
      <c r="D1727" s="1" t="str">
        <f>IFERROR(__xludf.DUMMYFUNCTION("""COMPUTED_VALUE"""),"old_page")</f>
        <v>old_page</v>
      </c>
      <c r="E1727" s="1">
        <f>IFERROR(__xludf.DUMMYFUNCTION("""COMPUTED_VALUE"""),0.0)</f>
        <v>0</v>
      </c>
    </row>
    <row r="1728">
      <c r="A1728" s="1">
        <f>IFERROR(__xludf.DUMMYFUNCTION("""COMPUTED_VALUE"""),731892.0)</f>
        <v>731892</v>
      </c>
      <c r="B1728" s="2">
        <f>IFERROR(__xludf.DUMMYFUNCTION("""COMPUTED_VALUE"""),42758.27749932841)</f>
        <v>42758.2775</v>
      </c>
      <c r="C1728" s="1" t="str">
        <f>IFERROR(__xludf.DUMMYFUNCTION("""COMPUTED_VALUE"""),"treatment")</f>
        <v>treatment</v>
      </c>
      <c r="D1728" s="1" t="str">
        <f>IFERROR(__xludf.DUMMYFUNCTION("""COMPUTED_VALUE"""),"new_page")</f>
        <v>new_page</v>
      </c>
      <c r="E1728" s="1">
        <f>IFERROR(__xludf.DUMMYFUNCTION("""COMPUTED_VALUE"""),0.0)</f>
        <v>0</v>
      </c>
    </row>
    <row r="1729">
      <c r="A1729" s="1">
        <f>IFERROR(__xludf.DUMMYFUNCTION("""COMPUTED_VALUE"""),756128.0)</f>
        <v>756128</v>
      </c>
      <c r="B1729" s="2">
        <f>IFERROR(__xludf.DUMMYFUNCTION("""COMPUTED_VALUE"""),42759.52308497128)</f>
        <v>42759.52308</v>
      </c>
      <c r="C1729" s="1" t="str">
        <f>IFERROR(__xludf.DUMMYFUNCTION("""COMPUTED_VALUE"""),"treatment")</f>
        <v>treatment</v>
      </c>
      <c r="D1729" s="1" t="str">
        <f>IFERROR(__xludf.DUMMYFUNCTION("""COMPUTED_VALUE"""),"new_page")</f>
        <v>new_page</v>
      </c>
      <c r="E1729" s="1">
        <f>IFERROR(__xludf.DUMMYFUNCTION("""COMPUTED_VALUE"""),0.0)</f>
        <v>0</v>
      </c>
    </row>
    <row r="1730">
      <c r="A1730" s="1">
        <f>IFERROR(__xludf.DUMMYFUNCTION("""COMPUTED_VALUE"""),699967.0)</f>
        <v>699967</v>
      </c>
      <c r="B1730" s="2">
        <f>IFERROR(__xludf.DUMMYFUNCTION("""COMPUTED_VALUE"""),42741.01277191579)</f>
        <v>42741.01277</v>
      </c>
      <c r="C1730" s="1" t="str">
        <f>IFERROR(__xludf.DUMMYFUNCTION("""COMPUTED_VALUE"""),"control")</f>
        <v>control</v>
      </c>
      <c r="D1730" s="1" t="str">
        <f>IFERROR(__xludf.DUMMYFUNCTION("""COMPUTED_VALUE"""),"old_page")</f>
        <v>old_page</v>
      </c>
      <c r="E1730" s="1">
        <f>IFERROR(__xludf.DUMMYFUNCTION("""COMPUTED_VALUE"""),0.0)</f>
        <v>0</v>
      </c>
    </row>
    <row r="1731">
      <c r="A1731" s="1">
        <f>IFERROR(__xludf.DUMMYFUNCTION("""COMPUTED_VALUE"""),826384.0)</f>
        <v>826384</v>
      </c>
      <c r="B1731" s="2">
        <f>IFERROR(__xludf.DUMMYFUNCTION("""COMPUTED_VALUE"""),42739.08181538639)</f>
        <v>42739.08182</v>
      </c>
      <c r="C1731" s="1" t="str">
        <f>IFERROR(__xludf.DUMMYFUNCTION("""COMPUTED_VALUE"""),"control")</f>
        <v>control</v>
      </c>
      <c r="D1731" s="1" t="str">
        <f>IFERROR(__xludf.DUMMYFUNCTION("""COMPUTED_VALUE"""),"old_page")</f>
        <v>old_page</v>
      </c>
      <c r="E1731" s="1">
        <f>IFERROR(__xludf.DUMMYFUNCTION("""COMPUTED_VALUE"""),0.0)</f>
        <v>0</v>
      </c>
    </row>
    <row r="1732">
      <c r="A1732" s="1">
        <f>IFERROR(__xludf.DUMMYFUNCTION("""COMPUTED_VALUE"""),731777.0)</f>
        <v>731777</v>
      </c>
      <c r="B1732" s="2">
        <f>IFERROR(__xludf.DUMMYFUNCTION("""COMPUTED_VALUE"""),42747.933011233436)</f>
        <v>42747.93301</v>
      </c>
      <c r="C1732" s="1" t="str">
        <f>IFERROR(__xludf.DUMMYFUNCTION("""COMPUTED_VALUE"""),"control")</f>
        <v>control</v>
      </c>
      <c r="D1732" s="1" t="str">
        <f>IFERROR(__xludf.DUMMYFUNCTION("""COMPUTED_VALUE"""),"old_page")</f>
        <v>old_page</v>
      </c>
      <c r="E1732" s="1">
        <f>IFERROR(__xludf.DUMMYFUNCTION("""COMPUTED_VALUE"""),0.0)</f>
        <v>0</v>
      </c>
    </row>
    <row r="1733">
      <c r="A1733" s="1">
        <f>IFERROR(__xludf.DUMMYFUNCTION("""COMPUTED_VALUE"""),918268.0)</f>
        <v>918268</v>
      </c>
      <c r="B1733" s="2">
        <f>IFERROR(__xludf.DUMMYFUNCTION("""COMPUTED_VALUE"""),42748.448061510906)</f>
        <v>42748.44806</v>
      </c>
      <c r="C1733" s="1" t="str">
        <f>IFERROR(__xludf.DUMMYFUNCTION("""COMPUTED_VALUE"""),"treatment")</f>
        <v>treatment</v>
      </c>
      <c r="D1733" s="1" t="str">
        <f>IFERROR(__xludf.DUMMYFUNCTION("""COMPUTED_VALUE"""),"new_page")</f>
        <v>new_page</v>
      </c>
      <c r="E1733" s="1">
        <f>IFERROR(__xludf.DUMMYFUNCTION("""COMPUTED_VALUE"""),0.0)</f>
        <v>0</v>
      </c>
    </row>
    <row r="1734">
      <c r="A1734" s="1">
        <f>IFERROR(__xludf.DUMMYFUNCTION("""COMPUTED_VALUE"""),921712.0)</f>
        <v>921712</v>
      </c>
      <c r="B1734" s="2">
        <f>IFERROR(__xludf.DUMMYFUNCTION("""COMPUTED_VALUE"""),42749.865635469905)</f>
        <v>42749.86564</v>
      </c>
      <c r="C1734" s="1" t="str">
        <f>IFERROR(__xludf.DUMMYFUNCTION("""COMPUTED_VALUE"""),"treatment")</f>
        <v>treatment</v>
      </c>
      <c r="D1734" s="1" t="str">
        <f>IFERROR(__xludf.DUMMYFUNCTION("""COMPUTED_VALUE"""),"new_page")</f>
        <v>new_page</v>
      </c>
      <c r="E1734" s="1">
        <f>IFERROR(__xludf.DUMMYFUNCTION("""COMPUTED_VALUE"""),0.0)</f>
        <v>0</v>
      </c>
    </row>
    <row r="1735">
      <c r="A1735" s="1">
        <f>IFERROR(__xludf.DUMMYFUNCTION("""COMPUTED_VALUE"""),864489.0)</f>
        <v>864489</v>
      </c>
      <c r="B1735" s="2">
        <f>IFERROR(__xludf.DUMMYFUNCTION("""COMPUTED_VALUE"""),42744.45948248063)</f>
        <v>42744.45948</v>
      </c>
      <c r="C1735" s="1" t="str">
        <f>IFERROR(__xludf.DUMMYFUNCTION("""COMPUTED_VALUE"""),"treatment")</f>
        <v>treatment</v>
      </c>
      <c r="D1735" s="1" t="str">
        <f>IFERROR(__xludf.DUMMYFUNCTION("""COMPUTED_VALUE"""),"new_page")</f>
        <v>new_page</v>
      </c>
      <c r="E1735" s="1">
        <f>IFERROR(__xludf.DUMMYFUNCTION("""COMPUTED_VALUE"""),0.0)</f>
        <v>0</v>
      </c>
    </row>
    <row r="1736">
      <c r="A1736" s="1">
        <f>IFERROR(__xludf.DUMMYFUNCTION("""COMPUTED_VALUE"""),737832.0)</f>
        <v>737832</v>
      </c>
      <c r="B1736" s="2">
        <f>IFERROR(__xludf.DUMMYFUNCTION("""COMPUTED_VALUE"""),42745.136824475856)</f>
        <v>42745.13682</v>
      </c>
      <c r="C1736" s="1" t="str">
        <f>IFERROR(__xludf.DUMMYFUNCTION("""COMPUTED_VALUE"""),"control")</f>
        <v>control</v>
      </c>
      <c r="D1736" s="1" t="str">
        <f>IFERROR(__xludf.DUMMYFUNCTION("""COMPUTED_VALUE"""),"old_page")</f>
        <v>old_page</v>
      </c>
      <c r="E1736" s="1">
        <f>IFERROR(__xludf.DUMMYFUNCTION("""COMPUTED_VALUE"""),0.0)</f>
        <v>0</v>
      </c>
    </row>
    <row r="1737">
      <c r="A1737" s="1">
        <f>IFERROR(__xludf.DUMMYFUNCTION("""COMPUTED_VALUE"""),925651.0)</f>
        <v>925651</v>
      </c>
      <c r="B1737" s="2">
        <f>IFERROR(__xludf.DUMMYFUNCTION("""COMPUTED_VALUE"""),42752.32241781266)</f>
        <v>42752.32242</v>
      </c>
      <c r="C1737" s="1" t="str">
        <f>IFERROR(__xludf.DUMMYFUNCTION("""COMPUTED_VALUE"""),"treatment")</f>
        <v>treatment</v>
      </c>
      <c r="D1737" s="1" t="str">
        <f>IFERROR(__xludf.DUMMYFUNCTION("""COMPUTED_VALUE"""),"new_page")</f>
        <v>new_page</v>
      </c>
      <c r="E1737" s="1">
        <f>IFERROR(__xludf.DUMMYFUNCTION("""COMPUTED_VALUE"""),0.0)</f>
        <v>0</v>
      </c>
    </row>
    <row r="1738">
      <c r="A1738" s="1">
        <f>IFERROR(__xludf.DUMMYFUNCTION("""COMPUTED_VALUE"""),813736.0)</f>
        <v>813736</v>
      </c>
      <c r="B1738" s="2">
        <f>IFERROR(__xludf.DUMMYFUNCTION("""COMPUTED_VALUE"""),42745.55300668251)</f>
        <v>42745.55301</v>
      </c>
      <c r="C1738" s="1" t="str">
        <f>IFERROR(__xludf.DUMMYFUNCTION("""COMPUTED_VALUE"""),"treatment")</f>
        <v>treatment</v>
      </c>
      <c r="D1738" s="1" t="str">
        <f>IFERROR(__xludf.DUMMYFUNCTION("""COMPUTED_VALUE"""),"new_page")</f>
        <v>new_page</v>
      </c>
      <c r="E1738" s="1">
        <f>IFERROR(__xludf.DUMMYFUNCTION("""COMPUTED_VALUE"""),0.0)</f>
        <v>0</v>
      </c>
    </row>
    <row r="1739">
      <c r="A1739" s="1">
        <f>IFERROR(__xludf.DUMMYFUNCTION("""COMPUTED_VALUE"""),937887.0)</f>
        <v>937887</v>
      </c>
      <c r="B1739" s="2">
        <f>IFERROR(__xludf.DUMMYFUNCTION("""COMPUTED_VALUE"""),42756.22858758168)</f>
        <v>42756.22859</v>
      </c>
      <c r="C1739" s="1" t="str">
        <f>IFERROR(__xludf.DUMMYFUNCTION("""COMPUTED_VALUE"""),"control")</f>
        <v>control</v>
      </c>
      <c r="D1739" s="1" t="str">
        <f>IFERROR(__xludf.DUMMYFUNCTION("""COMPUTED_VALUE"""),"old_page")</f>
        <v>old_page</v>
      </c>
      <c r="E1739" s="1">
        <f>IFERROR(__xludf.DUMMYFUNCTION("""COMPUTED_VALUE"""),1.0)</f>
        <v>1</v>
      </c>
    </row>
    <row r="1740">
      <c r="A1740" s="1">
        <f>IFERROR(__xludf.DUMMYFUNCTION("""COMPUTED_VALUE"""),753933.0)</f>
        <v>753933</v>
      </c>
      <c r="B1740" s="2">
        <f>IFERROR(__xludf.DUMMYFUNCTION("""COMPUTED_VALUE"""),42743.660717380415)</f>
        <v>42743.66072</v>
      </c>
      <c r="C1740" s="1" t="str">
        <f>IFERROR(__xludf.DUMMYFUNCTION("""COMPUTED_VALUE"""),"treatment")</f>
        <v>treatment</v>
      </c>
      <c r="D1740" s="1" t="str">
        <f>IFERROR(__xludf.DUMMYFUNCTION("""COMPUTED_VALUE"""),"new_page")</f>
        <v>new_page</v>
      </c>
      <c r="E1740" s="1">
        <f>IFERROR(__xludf.DUMMYFUNCTION("""COMPUTED_VALUE"""),0.0)</f>
        <v>0</v>
      </c>
    </row>
    <row r="1741">
      <c r="A1741" s="1">
        <f>IFERROR(__xludf.DUMMYFUNCTION("""COMPUTED_VALUE"""),737041.0)</f>
        <v>737041</v>
      </c>
      <c r="B1741" s="2">
        <f>IFERROR(__xludf.DUMMYFUNCTION("""COMPUTED_VALUE"""),42754.76555860264)</f>
        <v>42754.76556</v>
      </c>
      <c r="C1741" s="1" t="str">
        <f>IFERROR(__xludf.DUMMYFUNCTION("""COMPUTED_VALUE"""),"treatment")</f>
        <v>treatment</v>
      </c>
      <c r="D1741" s="1" t="str">
        <f>IFERROR(__xludf.DUMMYFUNCTION("""COMPUTED_VALUE"""),"new_page")</f>
        <v>new_page</v>
      </c>
      <c r="E1741" s="1">
        <f>IFERROR(__xludf.DUMMYFUNCTION("""COMPUTED_VALUE"""),0.0)</f>
        <v>0</v>
      </c>
    </row>
    <row r="1742">
      <c r="A1742" s="1">
        <f>IFERROR(__xludf.DUMMYFUNCTION("""COMPUTED_VALUE"""),852241.0)</f>
        <v>852241</v>
      </c>
      <c r="B1742" s="2">
        <f>IFERROR(__xludf.DUMMYFUNCTION("""COMPUTED_VALUE"""),42758.690770617664)</f>
        <v>42758.69077</v>
      </c>
      <c r="C1742" s="1" t="str">
        <f>IFERROR(__xludf.DUMMYFUNCTION("""COMPUTED_VALUE"""),"control")</f>
        <v>control</v>
      </c>
      <c r="D1742" s="1" t="str">
        <f>IFERROR(__xludf.DUMMYFUNCTION("""COMPUTED_VALUE"""),"old_page")</f>
        <v>old_page</v>
      </c>
      <c r="E1742" s="1">
        <f>IFERROR(__xludf.DUMMYFUNCTION("""COMPUTED_VALUE"""),0.0)</f>
        <v>0</v>
      </c>
    </row>
    <row r="1743">
      <c r="A1743" s="1">
        <f>IFERROR(__xludf.DUMMYFUNCTION("""COMPUTED_VALUE"""),722231.0)</f>
        <v>722231</v>
      </c>
      <c r="B1743" s="2">
        <f>IFERROR(__xludf.DUMMYFUNCTION("""COMPUTED_VALUE"""),42756.75300579478)</f>
        <v>42756.75301</v>
      </c>
      <c r="C1743" s="1" t="str">
        <f>IFERROR(__xludf.DUMMYFUNCTION("""COMPUTED_VALUE"""),"control")</f>
        <v>control</v>
      </c>
      <c r="D1743" s="1" t="str">
        <f>IFERROR(__xludf.DUMMYFUNCTION("""COMPUTED_VALUE"""),"old_page")</f>
        <v>old_page</v>
      </c>
      <c r="E1743" s="1">
        <f>IFERROR(__xludf.DUMMYFUNCTION("""COMPUTED_VALUE"""),0.0)</f>
        <v>0</v>
      </c>
    </row>
    <row r="1744">
      <c r="A1744" s="1">
        <f>IFERROR(__xludf.DUMMYFUNCTION("""COMPUTED_VALUE"""),705924.0)</f>
        <v>705924</v>
      </c>
      <c r="B1744" s="2">
        <f>IFERROR(__xludf.DUMMYFUNCTION("""COMPUTED_VALUE"""),42750.51219105486)</f>
        <v>42750.51219</v>
      </c>
      <c r="C1744" s="1" t="str">
        <f>IFERROR(__xludf.DUMMYFUNCTION("""COMPUTED_VALUE"""),"treatment")</f>
        <v>treatment</v>
      </c>
      <c r="D1744" s="1" t="str">
        <f>IFERROR(__xludf.DUMMYFUNCTION("""COMPUTED_VALUE"""),"new_page")</f>
        <v>new_page</v>
      </c>
      <c r="E1744" s="1">
        <f>IFERROR(__xludf.DUMMYFUNCTION("""COMPUTED_VALUE"""),0.0)</f>
        <v>0</v>
      </c>
    </row>
    <row r="1745">
      <c r="A1745" s="1">
        <f>IFERROR(__xludf.DUMMYFUNCTION("""COMPUTED_VALUE"""),712722.0)</f>
        <v>712722</v>
      </c>
      <c r="B1745" s="2">
        <f>IFERROR(__xludf.DUMMYFUNCTION("""COMPUTED_VALUE"""),42756.85627532772)</f>
        <v>42756.85628</v>
      </c>
      <c r="C1745" s="1" t="str">
        <f>IFERROR(__xludf.DUMMYFUNCTION("""COMPUTED_VALUE"""),"treatment")</f>
        <v>treatment</v>
      </c>
      <c r="D1745" s="1" t="str">
        <f>IFERROR(__xludf.DUMMYFUNCTION("""COMPUTED_VALUE"""),"new_page")</f>
        <v>new_page</v>
      </c>
      <c r="E1745" s="1">
        <f>IFERROR(__xludf.DUMMYFUNCTION("""COMPUTED_VALUE"""),0.0)</f>
        <v>0</v>
      </c>
    </row>
    <row r="1746">
      <c r="A1746" s="1">
        <f>IFERROR(__xludf.DUMMYFUNCTION("""COMPUTED_VALUE"""),733740.0)</f>
        <v>733740</v>
      </c>
      <c r="B1746" s="2">
        <f>IFERROR(__xludf.DUMMYFUNCTION("""COMPUTED_VALUE"""),42758.52079301868)</f>
        <v>42758.52079</v>
      </c>
      <c r="C1746" s="1" t="str">
        <f>IFERROR(__xludf.DUMMYFUNCTION("""COMPUTED_VALUE"""),"control")</f>
        <v>control</v>
      </c>
      <c r="D1746" s="1" t="str">
        <f>IFERROR(__xludf.DUMMYFUNCTION("""COMPUTED_VALUE"""),"old_page")</f>
        <v>old_page</v>
      </c>
      <c r="E1746" s="1">
        <f>IFERROR(__xludf.DUMMYFUNCTION("""COMPUTED_VALUE"""),0.0)</f>
        <v>0</v>
      </c>
    </row>
    <row r="1747">
      <c r="A1747" s="1">
        <f>IFERROR(__xludf.DUMMYFUNCTION("""COMPUTED_VALUE"""),696946.0)</f>
        <v>696946</v>
      </c>
      <c r="B1747" s="2">
        <f>IFERROR(__xludf.DUMMYFUNCTION("""COMPUTED_VALUE"""),42753.32506731295)</f>
        <v>42753.32507</v>
      </c>
      <c r="C1747" s="1" t="str">
        <f>IFERROR(__xludf.DUMMYFUNCTION("""COMPUTED_VALUE"""),"control")</f>
        <v>control</v>
      </c>
      <c r="D1747" s="1" t="str">
        <f>IFERROR(__xludf.DUMMYFUNCTION("""COMPUTED_VALUE"""),"old_page")</f>
        <v>old_page</v>
      </c>
      <c r="E1747" s="1">
        <f>IFERROR(__xludf.DUMMYFUNCTION("""COMPUTED_VALUE"""),0.0)</f>
        <v>0</v>
      </c>
    </row>
    <row r="1748">
      <c r="A1748" s="1">
        <f>IFERROR(__xludf.DUMMYFUNCTION("""COMPUTED_VALUE"""),778642.0)</f>
        <v>778642</v>
      </c>
      <c r="B1748" s="2">
        <f>IFERROR(__xludf.DUMMYFUNCTION("""COMPUTED_VALUE"""),42751.083646369756)</f>
        <v>42751.08365</v>
      </c>
      <c r="C1748" s="1" t="str">
        <f>IFERROR(__xludf.DUMMYFUNCTION("""COMPUTED_VALUE"""),"control")</f>
        <v>control</v>
      </c>
      <c r="D1748" s="1" t="str">
        <f>IFERROR(__xludf.DUMMYFUNCTION("""COMPUTED_VALUE"""),"old_page")</f>
        <v>old_page</v>
      </c>
      <c r="E1748" s="1">
        <f>IFERROR(__xludf.DUMMYFUNCTION("""COMPUTED_VALUE"""),0.0)</f>
        <v>0</v>
      </c>
    </row>
    <row r="1749">
      <c r="A1749" s="1">
        <f>IFERROR(__xludf.DUMMYFUNCTION("""COMPUTED_VALUE"""),927084.0)</f>
        <v>927084</v>
      </c>
      <c r="B1749" s="2">
        <f>IFERROR(__xludf.DUMMYFUNCTION("""COMPUTED_VALUE"""),42755.854350518945)</f>
        <v>42755.85435</v>
      </c>
      <c r="C1749" s="1" t="str">
        <f>IFERROR(__xludf.DUMMYFUNCTION("""COMPUTED_VALUE"""),"control")</f>
        <v>control</v>
      </c>
      <c r="D1749" s="1" t="str">
        <f>IFERROR(__xludf.DUMMYFUNCTION("""COMPUTED_VALUE"""),"old_page")</f>
        <v>old_page</v>
      </c>
      <c r="E1749" s="1">
        <f>IFERROR(__xludf.DUMMYFUNCTION("""COMPUTED_VALUE"""),0.0)</f>
        <v>0</v>
      </c>
    </row>
    <row r="1750">
      <c r="A1750" s="1">
        <f>IFERROR(__xludf.DUMMYFUNCTION("""COMPUTED_VALUE"""),693218.0)</f>
        <v>693218</v>
      </c>
      <c r="B1750" s="2">
        <f>IFERROR(__xludf.DUMMYFUNCTION("""COMPUTED_VALUE"""),42755.85054151014)</f>
        <v>42755.85054</v>
      </c>
      <c r="C1750" s="1" t="str">
        <f>IFERROR(__xludf.DUMMYFUNCTION("""COMPUTED_VALUE"""),"treatment")</f>
        <v>treatment</v>
      </c>
      <c r="D1750" s="1" t="str">
        <f>IFERROR(__xludf.DUMMYFUNCTION("""COMPUTED_VALUE"""),"new_page")</f>
        <v>new_page</v>
      </c>
      <c r="E1750" s="1">
        <f>IFERROR(__xludf.DUMMYFUNCTION("""COMPUTED_VALUE"""),0.0)</f>
        <v>0</v>
      </c>
    </row>
    <row r="1751">
      <c r="A1751" s="1">
        <f>IFERROR(__xludf.DUMMYFUNCTION("""COMPUTED_VALUE"""),713815.0)</f>
        <v>713815</v>
      </c>
      <c r="B1751" s="2">
        <f>IFERROR(__xludf.DUMMYFUNCTION("""COMPUTED_VALUE"""),42743.95248157464)</f>
        <v>42743.95248</v>
      </c>
      <c r="C1751" s="1" t="str">
        <f>IFERROR(__xludf.DUMMYFUNCTION("""COMPUTED_VALUE"""),"treatment")</f>
        <v>treatment</v>
      </c>
      <c r="D1751" s="1" t="str">
        <f>IFERROR(__xludf.DUMMYFUNCTION("""COMPUTED_VALUE"""),"new_page")</f>
        <v>new_page</v>
      </c>
      <c r="E1751" s="1">
        <f>IFERROR(__xludf.DUMMYFUNCTION("""COMPUTED_VALUE"""),0.0)</f>
        <v>0</v>
      </c>
    </row>
    <row r="1752">
      <c r="A1752" s="1">
        <f>IFERROR(__xludf.DUMMYFUNCTION("""COMPUTED_VALUE"""),929820.0)</f>
        <v>929820</v>
      </c>
      <c r="B1752" s="2">
        <f>IFERROR(__xludf.DUMMYFUNCTION("""COMPUTED_VALUE"""),42738.70762283833)</f>
        <v>42738.70762</v>
      </c>
      <c r="C1752" s="1" t="str">
        <f>IFERROR(__xludf.DUMMYFUNCTION("""COMPUTED_VALUE"""),"treatment")</f>
        <v>treatment</v>
      </c>
      <c r="D1752" s="1" t="str">
        <f>IFERROR(__xludf.DUMMYFUNCTION("""COMPUTED_VALUE"""),"new_page")</f>
        <v>new_page</v>
      </c>
      <c r="E1752" s="1">
        <f>IFERROR(__xludf.DUMMYFUNCTION("""COMPUTED_VALUE"""),0.0)</f>
        <v>0</v>
      </c>
    </row>
    <row r="1753">
      <c r="A1753" s="1">
        <f>IFERROR(__xludf.DUMMYFUNCTION("""COMPUTED_VALUE"""),910923.0)</f>
        <v>910923</v>
      </c>
      <c r="B1753" s="2">
        <f>IFERROR(__xludf.DUMMYFUNCTION("""COMPUTED_VALUE"""),42741.03713179249)</f>
        <v>42741.03713</v>
      </c>
      <c r="C1753" s="1" t="str">
        <f>IFERROR(__xludf.DUMMYFUNCTION("""COMPUTED_VALUE"""),"treatment")</f>
        <v>treatment</v>
      </c>
      <c r="D1753" s="1" t="str">
        <f>IFERROR(__xludf.DUMMYFUNCTION("""COMPUTED_VALUE"""),"new_page")</f>
        <v>new_page</v>
      </c>
      <c r="E1753" s="1">
        <f>IFERROR(__xludf.DUMMYFUNCTION("""COMPUTED_VALUE"""),0.0)</f>
        <v>0</v>
      </c>
    </row>
    <row r="1754">
      <c r="A1754" s="1">
        <f>IFERROR(__xludf.DUMMYFUNCTION("""COMPUTED_VALUE"""),645432.0)</f>
        <v>645432</v>
      </c>
      <c r="B1754" s="2">
        <f>IFERROR(__xludf.DUMMYFUNCTION("""COMPUTED_VALUE"""),42750.791654856715)</f>
        <v>42750.79165</v>
      </c>
      <c r="C1754" s="1" t="str">
        <f>IFERROR(__xludf.DUMMYFUNCTION("""COMPUTED_VALUE"""),"treatment")</f>
        <v>treatment</v>
      </c>
      <c r="D1754" s="1" t="str">
        <f>IFERROR(__xludf.DUMMYFUNCTION("""COMPUTED_VALUE"""),"new_page")</f>
        <v>new_page</v>
      </c>
      <c r="E1754" s="1">
        <f>IFERROR(__xludf.DUMMYFUNCTION("""COMPUTED_VALUE"""),0.0)</f>
        <v>0</v>
      </c>
    </row>
    <row r="1755">
      <c r="A1755" s="1">
        <f>IFERROR(__xludf.DUMMYFUNCTION("""COMPUTED_VALUE"""),889683.0)</f>
        <v>889683</v>
      </c>
      <c r="B1755" s="2">
        <f>IFERROR(__xludf.DUMMYFUNCTION("""COMPUTED_VALUE"""),42738.97799175316)</f>
        <v>42738.97799</v>
      </c>
      <c r="C1755" s="1" t="str">
        <f>IFERROR(__xludf.DUMMYFUNCTION("""COMPUTED_VALUE"""),"treatment")</f>
        <v>treatment</v>
      </c>
      <c r="D1755" s="1" t="str">
        <f>IFERROR(__xludf.DUMMYFUNCTION("""COMPUTED_VALUE"""),"new_page")</f>
        <v>new_page</v>
      </c>
      <c r="E1755" s="1">
        <f>IFERROR(__xludf.DUMMYFUNCTION("""COMPUTED_VALUE"""),0.0)</f>
        <v>0</v>
      </c>
    </row>
    <row r="1756">
      <c r="A1756" s="1">
        <f>IFERROR(__xludf.DUMMYFUNCTION("""COMPUTED_VALUE"""),854774.0)</f>
        <v>854774</v>
      </c>
      <c r="B1756" s="2">
        <f>IFERROR(__xludf.DUMMYFUNCTION("""COMPUTED_VALUE"""),42737.76482544626)</f>
        <v>42737.76483</v>
      </c>
      <c r="C1756" s="1" t="str">
        <f>IFERROR(__xludf.DUMMYFUNCTION("""COMPUTED_VALUE"""),"control")</f>
        <v>control</v>
      </c>
      <c r="D1756" s="1" t="str">
        <f>IFERROR(__xludf.DUMMYFUNCTION("""COMPUTED_VALUE"""),"old_page")</f>
        <v>old_page</v>
      </c>
      <c r="E1756" s="1">
        <f>IFERROR(__xludf.DUMMYFUNCTION("""COMPUTED_VALUE"""),1.0)</f>
        <v>1</v>
      </c>
    </row>
    <row r="1757">
      <c r="A1757" s="1">
        <f>IFERROR(__xludf.DUMMYFUNCTION("""COMPUTED_VALUE"""),799033.0)</f>
        <v>799033</v>
      </c>
      <c r="B1757" s="2">
        <f>IFERROR(__xludf.DUMMYFUNCTION("""COMPUTED_VALUE"""),42747.18583931581)</f>
        <v>42747.18584</v>
      </c>
      <c r="C1757" s="1" t="str">
        <f>IFERROR(__xludf.DUMMYFUNCTION("""COMPUTED_VALUE"""),"control")</f>
        <v>control</v>
      </c>
      <c r="D1757" s="1" t="str">
        <f>IFERROR(__xludf.DUMMYFUNCTION("""COMPUTED_VALUE"""),"old_page")</f>
        <v>old_page</v>
      </c>
      <c r="E1757" s="1">
        <f>IFERROR(__xludf.DUMMYFUNCTION("""COMPUTED_VALUE"""),1.0)</f>
        <v>1</v>
      </c>
    </row>
    <row r="1758">
      <c r="A1758" s="1">
        <f>IFERROR(__xludf.DUMMYFUNCTION("""COMPUTED_VALUE"""),654676.0)</f>
        <v>654676</v>
      </c>
      <c r="B1758" s="2">
        <f>IFERROR(__xludf.DUMMYFUNCTION("""COMPUTED_VALUE"""),42751.06308758299)</f>
        <v>42751.06309</v>
      </c>
      <c r="C1758" s="1" t="str">
        <f>IFERROR(__xludf.DUMMYFUNCTION("""COMPUTED_VALUE"""),"treatment")</f>
        <v>treatment</v>
      </c>
      <c r="D1758" s="1" t="str">
        <f>IFERROR(__xludf.DUMMYFUNCTION("""COMPUTED_VALUE"""),"new_page")</f>
        <v>new_page</v>
      </c>
      <c r="E1758" s="1">
        <f>IFERROR(__xludf.DUMMYFUNCTION("""COMPUTED_VALUE"""),0.0)</f>
        <v>0</v>
      </c>
    </row>
    <row r="1759">
      <c r="A1759" s="1">
        <f>IFERROR(__xludf.DUMMYFUNCTION("""COMPUTED_VALUE"""),921852.0)</f>
        <v>921852</v>
      </c>
      <c r="B1759" s="2">
        <f>IFERROR(__xludf.DUMMYFUNCTION("""COMPUTED_VALUE"""),42750.64777208649)</f>
        <v>42750.64777</v>
      </c>
      <c r="C1759" s="1" t="str">
        <f>IFERROR(__xludf.DUMMYFUNCTION("""COMPUTED_VALUE"""),"treatment")</f>
        <v>treatment</v>
      </c>
      <c r="D1759" s="1" t="str">
        <f>IFERROR(__xludf.DUMMYFUNCTION("""COMPUTED_VALUE"""),"new_page")</f>
        <v>new_page</v>
      </c>
      <c r="E1759" s="1">
        <f>IFERROR(__xludf.DUMMYFUNCTION("""COMPUTED_VALUE"""),0.0)</f>
        <v>0</v>
      </c>
    </row>
    <row r="1760">
      <c r="A1760" s="1">
        <f>IFERROR(__xludf.DUMMYFUNCTION("""COMPUTED_VALUE"""),927095.0)</f>
        <v>927095</v>
      </c>
      <c r="B1760" s="2">
        <f>IFERROR(__xludf.DUMMYFUNCTION("""COMPUTED_VALUE"""),42739.10891046265)</f>
        <v>42739.10891</v>
      </c>
      <c r="C1760" s="1" t="str">
        <f>IFERROR(__xludf.DUMMYFUNCTION("""COMPUTED_VALUE"""),"control")</f>
        <v>control</v>
      </c>
      <c r="D1760" s="1" t="str">
        <f>IFERROR(__xludf.DUMMYFUNCTION("""COMPUTED_VALUE"""),"old_page")</f>
        <v>old_page</v>
      </c>
      <c r="E1760" s="1">
        <f>IFERROR(__xludf.DUMMYFUNCTION("""COMPUTED_VALUE"""),0.0)</f>
        <v>0</v>
      </c>
    </row>
    <row r="1761">
      <c r="A1761" s="1">
        <f>IFERROR(__xludf.DUMMYFUNCTION("""COMPUTED_VALUE"""),904250.0)</f>
        <v>904250</v>
      </c>
      <c r="B1761" s="2">
        <f>IFERROR(__xludf.DUMMYFUNCTION("""COMPUTED_VALUE"""),42750.26329839361)</f>
        <v>42750.2633</v>
      </c>
      <c r="C1761" s="1" t="str">
        <f>IFERROR(__xludf.DUMMYFUNCTION("""COMPUTED_VALUE"""),"treatment")</f>
        <v>treatment</v>
      </c>
      <c r="D1761" s="1" t="str">
        <f>IFERROR(__xludf.DUMMYFUNCTION("""COMPUTED_VALUE"""),"new_page")</f>
        <v>new_page</v>
      </c>
      <c r="E1761" s="1">
        <f>IFERROR(__xludf.DUMMYFUNCTION("""COMPUTED_VALUE"""),0.0)</f>
        <v>0</v>
      </c>
    </row>
    <row r="1762">
      <c r="A1762" s="1">
        <f>IFERROR(__xludf.DUMMYFUNCTION("""COMPUTED_VALUE"""),756591.0)</f>
        <v>756591</v>
      </c>
      <c r="B1762" s="2">
        <f>IFERROR(__xludf.DUMMYFUNCTION("""COMPUTED_VALUE"""),42743.26132373492)</f>
        <v>42743.26132</v>
      </c>
      <c r="C1762" s="1" t="str">
        <f>IFERROR(__xludf.DUMMYFUNCTION("""COMPUTED_VALUE"""),"control")</f>
        <v>control</v>
      </c>
      <c r="D1762" s="1" t="str">
        <f>IFERROR(__xludf.DUMMYFUNCTION("""COMPUTED_VALUE"""),"old_page")</f>
        <v>old_page</v>
      </c>
      <c r="E1762" s="1">
        <f>IFERROR(__xludf.DUMMYFUNCTION("""COMPUTED_VALUE"""),0.0)</f>
        <v>0</v>
      </c>
    </row>
    <row r="1763">
      <c r="A1763" s="1">
        <f>IFERROR(__xludf.DUMMYFUNCTION("""COMPUTED_VALUE"""),941820.0)</f>
        <v>941820</v>
      </c>
      <c r="B1763" s="2">
        <f>IFERROR(__xludf.DUMMYFUNCTION("""COMPUTED_VALUE"""),42758.750317051294)</f>
        <v>42758.75032</v>
      </c>
      <c r="C1763" s="1" t="str">
        <f>IFERROR(__xludf.DUMMYFUNCTION("""COMPUTED_VALUE"""),"treatment")</f>
        <v>treatment</v>
      </c>
      <c r="D1763" s="1" t="str">
        <f>IFERROR(__xludf.DUMMYFUNCTION("""COMPUTED_VALUE"""),"new_page")</f>
        <v>new_page</v>
      </c>
      <c r="E1763" s="1">
        <f>IFERROR(__xludf.DUMMYFUNCTION("""COMPUTED_VALUE"""),1.0)</f>
        <v>1</v>
      </c>
    </row>
    <row r="1764">
      <c r="A1764" s="1">
        <f>IFERROR(__xludf.DUMMYFUNCTION("""COMPUTED_VALUE"""),690127.0)</f>
        <v>690127</v>
      </c>
      <c r="B1764" s="2">
        <f>IFERROR(__xludf.DUMMYFUNCTION("""COMPUTED_VALUE"""),42746.66872165853)</f>
        <v>42746.66872</v>
      </c>
      <c r="C1764" s="1" t="str">
        <f>IFERROR(__xludf.DUMMYFUNCTION("""COMPUTED_VALUE"""),"treatment")</f>
        <v>treatment</v>
      </c>
      <c r="D1764" s="1" t="str">
        <f>IFERROR(__xludf.DUMMYFUNCTION("""COMPUTED_VALUE"""),"old_page")</f>
        <v>old_page</v>
      </c>
      <c r="E1764" s="1">
        <f>IFERROR(__xludf.DUMMYFUNCTION("""COMPUTED_VALUE"""),1.0)</f>
        <v>1</v>
      </c>
    </row>
    <row r="1765">
      <c r="A1765" s="1">
        <f>IFERROR(__xludf.DUMMYFUNCTION("""COMPUTED_VALUE"""),781146.0)</f>
        <v>781146</v>
      </c>
      <c r="B1765" s="2">
        <f>IFERROR(__xludf.DUMMYFUNCTION("""COMPUTED_VALUE"""),42742.831839830986)</f>
        <v>42742.83184</v>
      </c>
      <c r="C1765" s="1" t="str">
        <f>IFERROR(__xludf.DUMMYFUNCTION("""COMPUTED_VALUE"""),"control")</f>
        <v>control</v>
      </c>
      <c r="D1765" s="1" t="str">
        <f>IFERROR(__xludf.DUMMYFUNCTION("""COMPUTED_VALUE"""),"old_page")</f>
        <v>old_page</v>
      </c>
      <c r="E1765" s="1">
        <f>IFERROR(__xludf.DUMMYFUNCTION("""COMPUTED_VALUE"""),0.0)</f>
        <v>0</v>
      </c>
    </row>
    <row r="1766">
      <c r="A1766" s="1">
        <f>IFERROR(__xludf.DUMMYFUNCTION("""COMPUTED_VALUE"""),662574.0)</f>
        <v>662574</v>
      </c>
      <c r="B1766" s="2">
        <f>IFERROR(__xludf.DUMMYFUNCTION("""COMPUTED_VALUE"""),42752.64149809035)</f>
        <v>42752.6415</v>
      </c>
      <c r="C1766" s="1" t="str">
        <f>IFERROR(__xludf.DUMMYFUNCTION("""COMPUTED_VALUE"""),"control")</f>
        <v>control</v>
      </c>
      <c r="D1766" s="1" t="str">
        <f>IFERROR(__xludf.DUMMYFUNCTION("""COMPUTED_VALUE"""),"old_page")</f>
        <v>old_page</v>
      </c>
      <c r="E1766" s="1">
        <f>IFERROR(__xludf.DUMMYFUNCTION("""COMPUTED_VALUE"""),0.0)</f>
        <v>0</v>
      </c>
    </row>
    <row r="1767">
      <c r="A1767" s="1">
        <f>IFERROR(__xludf.DUMMYFUNCTION("""COMPUTED_VALUE"""),723863.0)</f>
        <v>723863</v>
      </c>
      <c r="B1767" s="2">
        <f>IFERROR(__xludf.DUMMYFUNCTION("""COMPUTED_VALUE"""),42739.97306882745)</f>
        <v>42739.97307</v>
      </c>
      <c r="C1767" s="1" t="str">
        <f>IFERROR(__xludf.DUMMYFUNCTION("""COMPUTED_VALUE"""),"control")</f>
        <v>control</v>
      </c>
      <c r="D1767" s="1" t="str">
        <f>IFERROR(__xludf.DUMMYFUNCTION("""COMPUTED_VALUE"""),"old_page")</f>
        <v>old_page</v>
      </c>
      <c r="E1767" s="1">
        <f>IFERROR(__xludf.DUMMYFUNCTION("""COMPUTED_VALUE"""),0.0)</f>
        <v>0</v>
      </c>
    </row>
    <row r="1768">
      <c r="A1768" s="1">
        <f>IFERROR(__xludf.DUMMYFUNCTION("""COMPUTED_VALUE"""),837967.0)</f>
        <v>837967</v>
      </c>
      <c r="B1768" s="2">
        <f>IFERROR(__xludf.DUMMYFUNCTION("""COMPUTED_VALUE"""),42749.86554678752)</f>
        <v>42749.86555</v>
      </c>
      <c r="C1768" s="1" t="str">
        <f>IFERROR(__xludf.DUMMYFUNCTION("""COMPUTED_VALUE"""),"control")</f>
        <v>control</v>
      </c>
      <c r="D1768" s="1" t="str">
        <f>IFERROR(__xludf.DUMMYFUNCTION("""COMPUTED_VALUE"""),"old_page")</f>
        <v>old_page</v>
      </c>
      <c r="E1768" s="1">
        <f>IFERROR(__xludf.DUMMYFUNCTION("""COMPUTED_VALUE"""),0.0)</f>
        <v>0</v>
      </c>
    </row>
    <row r="1769">
      <c r="A1769" s="1">
        <f>IFERROR(__xludf.DUMMYFUNCTION("""COMPUTED_VALUE"""),689354.0)</f>
        <v>689354</v>
      </c>
      <c r="B1769" s="2">
        <f>IFERROR(__xludf.DUMMYFUNCTION("""COMPUTED_VALUE"""),42745.66215771536)</f>
        <v>42745.66216</v>
      </c>
      <c r="C1769" s="1" t="str">
        <f>IFERROR(__xludf.DUMMYFUNCTION("""COMPUTED_VALUE"""),"treatment")</f>
        <v>treatment</v>
      </c>
      <c r="D1769" s="1" t="str">
        <f>IFERROR(__xludf.DUMMYFUNCTION("""COMPUTED_VALUE"""),"new_page")</f>
        <v>new_page</v>
      </c>
      <c r="E1769" s="1">
        <f>IFERROR(__xludf.DUMMYFUNCTION("""COMPUTED_VALUE"""),1.0)</f>
        <v>1</v>
      </c>
    </row>
    <row r="1770">
      <c r="A1770" s="1">
        <f>IFERROR(__xludf.DUMMYFUNCTION("""COMPUTED_VALUE"""),902002.0)</f>
        <v>902002</v>
      </c>
      <c r="B1770" s="2">
        <f>IFERROR(__xludf.DUMMYFUNCTION("""COMPUTED_VALUE"""),42753.99572699699)</f>
        <v>42753.99573</v>
      </c>
      <c r="C1770" s="1" t="str">
        <f>IFERROR(__xludf.DUMMYFUNCTION("""COMPUTED_VALUE"""),"control")</f>
        <v>control</v>
      </c>
      <c r="D1770" s="1" t="str">
        <f>IFERROR(__xludf.DUMMYFUNCTION("""COMPUTED_VALUE"""),"old_page")</f>
        <v>old_page</v>
      </c>
      <c r="E1770" s="1">
        <f>IFERROR(__xludf.DUMMYFUNCTION("""COMPUTED_VALUE"""),0.0)</f>
        <v>0</v>
      </c>
    </row>
    <row r="1771">
      <c r="A1771" s="1">
        <f>IFERROR(__xludf.DUMMYFUNCTION("""COMPUTED_VALUE"""),832022.0)</f>
        <v>832022</v>
      </c>
      <c r="B1771" s="2">
        <f>IFERROR(__xludf.DUMMYFUNCTION("""COMPUTED_VALUE"""),42756.44674409967)</f>
        <v>42756.44674</v>
      </c>
      <c r="C1771" s="1" t="str">
        <f>IFERROR(__xludf.DUMMYFUNCTION("""COMPUTED_VALUE"""),"control")</f>
        <v>control</v>
      </c>
      <c r="D1771" s="1" t="str">
        <f>IFERROR(__xludf.DUMMYFUNCTION("""COMPUTED_VALUE"""),"old_page")</f>
        <v>old_page</v>
      </c>
      <c r="E1771" s="1">
        <f>IFERROR(__xludf.DUMMYFUNCTION("""COMPUTED_VALUE"""),1.0)</f>
        <v>1</v>
      </c>
    </row>
    <row r="1772">
      <c r="A1772" s="1">
        <f>IFERROR(__xludf.DUMMYFUNCTION("""COMPUTED_VALUE"""),655174.0)</f>
        <v>655174</v>
      </c>
      <c r="B1772" s="2">
        <f>IFERROR(__xludf.DUMMYFUNCTION("""COMPUTED_VALUE"""),42743.612303905014)</f>
        <v>42743.6123</v>
      </c>
      <c r="C1772" s="1" t="str">
        <f>IFERROR(__xludf.DUMMYFUNCTION("""COMPUTED_VALUE"""),"treatment")</f>
        <v>treatment</v>
      </c>
      <c r="D1772" s="1" t="str">
        <f>IFERROR(__xludf.DUMMYFUNCTION("""COMPUTED_VALUE"""),"new_page")</f>
        <v>new_page</v>
      </c>
      <c r="E1772" s="1">
        <f>IFERROR(__xludf.DUMMYFUNCTION("""COMPUTED_VALUE"""),0.0)</f>
        <v>0</v>
      </c>
    </row>
    <row r="1773">
      <c r="A1773" s="1">
        <f>IFERROR(__xludf.DUMMYFUNCTION("""COMPUTED_VALUE"""),804109.0)</f>
        <v>804109</v>
      </c>
      <c r="B1773" s="2">
        <f>IFERROR(__xludf.DUMMYFUNCTION("""COMPUTED_VALUE"""),42745.658475090866)</f>
        <v>42745.65848</v>
      </c>
      <c r="C1773" s="1" t="str">
        <f>IFERROR(__xludf.DUMMYFUNCTION("""COMPUTED_VALUE"""),"control")</f>
        <v>control</v>
      </c>
      <c r="D1773" s="1" t="str">
        <f>IFERROR(__xludf.DUMMYFUNCTION("""COMPUTED_VALUE"""),"old_page")</f>
        <v>old_page</v>
      </c>
      <c r="E1773" s="1">
        <f>IFERROR(__xludf.DUMMYFUNCTION("""COMPUTED_VALUE"""),1.0)</f>
        <v>1</v>
      </c>
    </row>
    <row r="1774">
      <c r="A1774" s="1">
        <f>IFERROR(__xludf.DUMMYFUNCTION("""COMPUTED_VALUE"""),740509.0)</f>
        <v>740509</v>
      </c>
      <c r="B1774" s="2">
        <f>IFERROR(__xludf.DUMMYFUNCTION("""COMPUTED_VALUE"""),42750.077633524525)</f>
        <v>42750.07763</v>
      </c>
      <c r="C1774" s="1" t="str">
        <f>IFERROR(__xludf.DUMMYFUNCTION("""COMPUTED_VALUE"""),"control")</f>
        <v>control</v>
      </c>
      <c r="D1774" s="1" t="str">
        <f>IFERROR(__xludf.DUMMYFUNCTION("""COMPUTED_VALUE"""),"old_page")</f>
        <v>old_page</v>
      </c>
      <c r="E1774" s="1">
        <f>IFERROR(__xludf.DUMMYFUNCTION("""COMPUTED_VALUE"""),0.0)</f>
        <v>0</v>
      </c>
    </row>
    <row r="1775">
      <c r="A1775" s="1">
        <f>IFERROR(__xludf.DUMMYFUNCTION("""COMPUTED_VALUE"""),721545.0)</f>
        <v>721545</v>
      </c>
      <c r="B1775" s="2">
        <f>IFERROR(__xludf.DUMMYFUNCTION("""COMPUTED_VALUE"""),42752.94429848715)</f>
        <v>42752.9443</v>
      </c>
      <c r="C1775" s="1" t="str">
        <f>IFERROR(__xludf.DUMMYFUNCTION("""COMPUTED_VALUE"""),"treatment")</f>
        <v>treatment</v>
      </c>
      <c r="D1775" s="1" t="str">
        <f>IFERROR(__xludf.DUMMYFUNCTION("""COMPUTED_VALUE"""),"new_page")</f>
        <v>new_page</v>
      </c>
      <c r="E1775" s="1">
        <f>IFERROR(__xludf.DUMMYFUNCTION("""COMPUTED_VALUE"""),0.0)</f>
        <v>0</v>
      </c>
    </row>
    <row r="1776">
      <c r="A1776" s="1">
        <f>IFERROR(__xludf.DUMMYFUNCTION("""COMPUTED_VALUE"""),695238.0)</f>
        <v>695238</v>
      </c>
      <c r="B1776" s="2">
        <f>IFERROR(__xludf.DUMMYFUNCTION("""COMPUTED_VALUE"""),42745.63658030748)</f>
        <v>42745.63658</v>
      </c>
      <c r="C1776" s="1" t="str">
        <f>IFERROR(__xludf.DUMMYFUNCTION("""COMPUTED_VALUE"""),"control")</f>
        <v>control</v>
      </c>
      <c r="D1776" s="1" t="str">
        <f>IFERROR(__xludf.DUMMYFUNCTION("""COMPUTED_VALUE"""),"old_page")</f>
        <v>old_page</v>
      </c>
      <c r="E1776" s="1">
        <f>IFERROR(__xludf.DUMMYFUNCTION("""COMPUTED_VALUE"""),1.0)</f>
        <v>1</v>
      </c>
    </row>
    <row r="1777">
      <c r="A1777" s="1">
        <f>IFERROR(__xludf.DUMMYFUNCTION("""COMPUTED_VALUE"""),838618.0)</f>
        <v>838618</v>
      </c>
      <c r="B1777" s="2">
        <f>IFERROR(__xludf.DUMMYFUNCTION("""COMPUTED_VALUE"""),42746.718137530326)</f>
        <v>42746.71814</v>
      </c>
      <c r="C1777" s="1" t="str">
        <f>IFERROR(__xludf.DUMMYFUNCTION("""COMPUTED_VALUE"""),"control")</f>
        <v>control</v>
      </c>
      <c r="D1777" s="1" t="str">
        <f>IFERROR(__xludf.DUMMYFUNCTION("""COMPUTED_VALUE"""),"old_page")</f>
        <v>old_page</v>
      </c>
      <c r="E1777" s="1">
        <f>IFERROR(__xludf.DUMMYFUNCTION("""COMPUTED_VALUE"""),0.0)</f>
        <v>0</v>
      </c>
    </row>
    <row r="1778">
      <c r="A1778" s="1">
        <f>IFERROR(__xludf.DUMMYFUNCTION("""COMPUTED_VALUE"""),865210.0)</f>
        <v>865210</v>
      </c>
      <c r="B1778" s="2">
        <f>IFERROR(__xludf.DUMMYFUNCTION("""COMPUTED_VALUE"""),42757.18558844295)</f>
        <v>42757.18559</v>
      </c>
      <c r="C1778" s="1" t="str">
        <f>IFERROR(__xludf.DUMMYFUNCTION("""COMPUTED_VALUE"""),"treatment")</f>
        <v>treatment</v>
      </c>
      <c r="D1778" s="1" t="str">
        <f>IFERROR(__xludf.DUMMYFUNCTION("""COMPUTED_VALUE"""),"new_page")</f>
        <v>new_page</v>
      </c>
      <c r="E1778" s="1">
        <f>IFERROR(__xludf.DUMMYFUNCTION("""COMPUTED_VALUE"""),0.0)</f>
        <v>0</v>
      </c>
    </row>
    <row r="1779">
      <c r="A1779" s="1">
        <f>IFERROR(__xludf.DUMMYFUNCTION("""COMPUTED_VALUE"""),738007.0)</f>
        <v>738007</v>
      </c>
      <c r="B1779" s="2">
        <f>IFERROR(__xludf.DUMMYFUNCTION("""COMPUTED_VALUE"""),42758.330364252906)</f>
        <v>42758.33036</v>
      </c>
      <c r="C1779" s="1" t="str">
        <f>IFERROR(__xludf.DUMMYFUNCTION("""COMPUTED_VALUE"""),"control")</f>
        <v>control</v>
      </c>
      <c r="D1779" s="1" t="str">
        <f>IFERROR(__xludf.DUMMYFUNCTION("""COMPUTED_VALUE"""),"old_page")</f>
        <v>old_page</v>
      </c>
      <c r="E1779" s="1">
        <f>IFERROR(__xludf.DUMMYFUNCTION("""COMPUTED_VALUE"""),0.0)</f>
        <v>0</v>
      </c>
    </row>
    <row r="1780">
      <c r="A1780" s="1">
        <f>IFERROR(__xludf.DUMMYFUNCTION("""COMPUTED_VALUE"""),874755.0)</f>
        <v>874755</v>
      </c>
      <c r="B1780" s="2">
        <f>IFERROR(__xludf.DUMMYFUNCTION("""COMPUTED_VALUE"""),42740.4514757317)</f>
        <v>42740.45148</v>
      </c>
      <c r="C1780" s="1" t="str">
        <f>IFERROR(__xludf.DUMMYFUNCTION("""COMPUTED_VALUE"""),"treatment")</f>
        <v>treatment</v>
      </c>
      <c r="D1780" s="1" t="str">
        <f>IFERROR(__xludf.DUMMYFUNCTION("""COMPUTED_VALUE"""),"new_page")</f>
        <v>new_page</v>
      </c>
      <c r="E1780" s="1">
        <f>IFERROR(__xludf.DUMMYFUNCTION("""COMPUTED_VALUE"""),0.0)</f>
        <v>0</v>
      </c>
    </row>
    <row r="1781">
      <c r="A1781" s="1">
        <f>IFERROR(__xludf.DUMMYFUNCTION("""COMPUTED_VALUE"""),782881.0)</f>
        <v>782881</v>
      </c>
      <c r="B1781" s="2">
        <f>IFERROR(__xludf.DUMMYFUNCTION("""COMPUTED_VALUE"""),42754.5472564387)</f>
        <v>42754.54726</v>
      </c>
      <c r="C1781" s="1" t="str">
        <f>IFERROR(__xludf.DUMMYFUNCTION("""COMPUTED_VALUE"""),"treatment")</f>
        <v>treatment</v>
      </c>
      <c r="D1781" s="1" t="str">
        <f>IFERROR(__xludf.DUMMYFUNCTION("""COMPUTED_VALUE"""),"new_page")</f>
        <v>new_page</v>
      </c>
      <c r="E1781" s="1">
        <f>IFERROR(__xludf.DUMMYFUNCTION("""COMPUTED_VALUE"""),1.0)</f>
        <v>1</v>
      </c>
    </row>
    <row r="1782">
      <c r="A1782" s="1">
        <f>IFERROR(__xludf.DUMMYFUNCTION("""COMPUTED_VALUE"""),810219.0)</f>
        <v>810219</v>
      </c>
      <c r="B1782" s="2">
        <f>IFERROR(__xludf.DUMMYFUNCTION("""COMPUTED_VALUE"""),42749.83095428182)</f>
        <v>42749.83095</v>
      </c>
      <c r="C1782" s="1" t="str">
        <f>IFERROR(__xludf.DUMMYFUNCTION("""COMPUTED_VALUE"""),"treatment")</f>
        <v>treatment</v>
      </c>
      <c r="D1782" s="1" t="str">
        <f>IFERROR(__xludf.DUMMYFUNCTION("""COMPUTED_VALUE"""),"new_page")</f>
        <v>new_page</v>
      </c>
      <c r="E1782" s="1">
        <f>IFERROR(__xludf.DUMMYFUNCTION("""COMPUTED_VALUE"""),0.0)</f>
        <v>0</v>
      </c>
    </row>
    <row r="1783">
      <c r="A1783" s="1">
        <f>IFERROR(__xludf.DUMMYFUNCTION("""COMPUTED_VALUE"""),858759.0)</f>
        <v>858759</v>
      </c>
      <c r="B1783" s="2">
        <f>IFERROR(__xludf.DUMMYFUNCTION("""COMPUTED_VALUE"""),42746.5992406654)</f>
        <v>42746.59924</v>
      </c>
      <c r="C1783" s="1" t="str">
        <f>IFERROR(__xludf.DUMMYFUNCTION("""COMPUTED_VALUE"""),"treatment")</f>
        <v>treatment</v>
      </c>
      <c r="D1783" s="1" t="str">
        <f>IFERROR(__xludf.DUMMYFUNCTION("""COMPUTED_VALUE"""),"new_page")</f>
        <v>new_page</v>
      </c>
      <c r="E1783" s="1">
        <f>IFERROR(__xludf.DUMMYFUNCTION("""COMPUTED_VALUE"""),0.0)</f>
        <v>0</v>
      </c>
    </row>
    <row r="1784">
      <c r="A1784" s="1">
        <f>IFERROR(__xludf.DUMMYFUNCTION("""COMPUTED_VALUE"""),852463.0)</f>
        <v>852463</v>
      </c>
      <c r="B1784" s="2">
        <f>IFERROR(__xludf.DUMMYFUNCTION("""COMPUTED_VALUE"""),42758.10450174297)</f>
        <v>42758.1045</v>
      </c>
      <c r="C1784" s="1" t="str">
        <f>IFERROR(__xludf.DUMMYFUNCTION("""COMPUTED_VALUE"""),"control")</f>
        <v>control</v>
      </c>
      <c r="D1784" s="1" t="str">
        <f>IFERROR(__xludf.DUMMYFUNCTION("""COMPUTED_VALUE"""),"old_page")</f>
        <v>old_page</v>
      </c>
      <c r="E1784" s="1">
        <f>IFERROR(__xludf.DUMMYFUNCTION("""COMPUTED_VALUE"""),0.0)</f>
        <v>0</v>
      </c>
    </row>
    <row r="1785">
      <c r="A1785" s="1">
        <f>IFERROR(__xludf.DUMMYFUNCTION("""COMPUTED_VALUE"""),717378.0)</f>
        <v>717378</v>
      </c>
      <c r="B1785" s="2">
        <f>IFERROR(__xludf.DUMMYFUNCTION("""COMPUTED_VALUE"""),42749.51917389537)</f>
        <v>42749.51917</v>
      </c>
      <c r="C1785" s="1" t="str">
        <f>IFERROR(__xludf.DUMMYFUNCTION("""COMPUTED_VALUE"""),"treatment")</f>
        <v>treatment</v>
      </c>
      <c r="D1785" s="1" t="str">
        <f>IFERROR(__xludf.DUMMYFUNCTION("""COMPUTED_VALUE"""),"new_page")</f>
        <v>new_page</v>
      </c>
      <c r="E1785" s="1">
        <f>IFERROR(__xludf.DUMMYFUNCTION("""COMPUTED_VALUE"""),0.0)</f>
        <v>0</v>
      </c>
    </row>
    <row r="1786">
      <c r="A1786" s="1">
        <f>IFERROR(__xludf.DUMMYFUNCTION("""COMPUTED_VALUE"""),853373.0)</f>
        <v>853373</v>
      </c>
      <c r="B1786" s="2">
        <f>IFERROR(__xludf.DUMMYFUNCTION("""COMPUTED_VALUE"""),42737.622078877685)</f>
        <v>42737.62208</v>
      </c>
      <c r="C1786" s="1" t="str">
        <f>IFERROR(__xludf.DUMMYFUNCTION("""COMPUTED_VALUE"""),"treatment")</f>
        <v>treatment</v>
      </c>
      <c r="D1786" s="1" t="str">
        <f>IFERROR(__xludf.DUMMYFUNCTION("""COMPUTED_VALUE"""),"new_page")</f>
        <v>new_page</v>
      </c>
      <c r="E1786" s="1">
        <f>IFERROR(__xludf.DUMMYFUNCTION("""COMPUTED_VALUE"""),0.0)</f>
        <v>0</v>
      </c>
    </row>
    <row r="1787">
      <c r="A1787" s="1">
        <f>IFERROR(__xludf.DUMMYFUNCTION("""COMPUTED_VALUE"""),760770.0)</f>
        <v>760770</v>
      </c>
      <c r="B1787" s="2">
        <f>IFERROR(__xludf.DUMMYFUNCTION("""COMPUTED_VALUE"""),42746.24039282995)</f>
        <v>42746.24039</v>
      </c>
      <c r="C1787" s="1" t="str">
        <f>IFERROR(__xludf.DUMMYFUNCTION("""COMPUTED_VALUE"""),"control")</f>
        <v>control</v>
      </c>
      <c r="D1787" s="1" t="str">
        <f>IFERROR(__xludf.DUMMYFUNCTION("""COMPUTED_VALUE"""),"old_page")</f>
        <v>old_page</v>
      </c>
      <c r="E1787" s="1">
        <f>IFERROR(__xludf.DUMMYFUNCTION("""COMPUTED_VALUE"""),0.0)</f>
        <v>0</v>
      </c>
    </row>
    <row r="1788">
      <c r="A1788" s="1">
        <f>IFERROR(__xludf.DUMMYFUNCTION("""COMPUTED_VALUE"""),730970.0)</f>
        <v>730970</v>
      </c>
      <c r="B1788" s="2">
        <f>IFERROR(__xludf.DUMMYFUNCTION("""COMPUTED_VALUE"""),42756.94738839243)</f>
        <v>42756.94739</v>
      </c>
      <c r="C1788" s="1" t="str">
        <f>IFERROR(__xludf.DUMMYFUNCTION("""COMPUTED_VALUE"""),"treatment")</f>
        <v>treatment</v>
      </c>
      <c r="D1788" s="1" t="str">
        <f>IFERROR(__xludf.DUMMYFUNCTION("""COMPUTED_VALUE"""),"new_page")</f>
        <v>new_page</v>
      </c>
      <c r="E1788" s="1">
        <f>IFERROR(__xludf.DUMMYFUNCTION("""COMPUTED_VALUE"""),1.0)</f>
        <v>1</v>
      </c>
    </row>
    <row r="1789">
      <c r="A1789" s="1">
        <f>IFERROR(__xludf.DUMMYFUNCTION("""COMPUTED_VALUE"""),801259.0)</f>
        <v>801259</v>
      </c>
      <c r="B1789" s="2">
        <f>IFERROR(__xludf.DUMMYFUNCTION("""COMPUTED_VALUE"""),42753.53834143804)</f>
        <v>42753.53834</v>
      </c>
      <c r="C1789" s="1" t="str">
        <f>IFERROR(__xludf.DUMMYFUNCTION("""COMPUTED_VALUE"""),"control")</f>
        <v>control</v>
      </c>
      <c r="D1789" s="1" t="str">
        <f>IFERROR(__xludf.DUMMYFUNCTION("""COMPUTED_VALUE"""),"old_page")</f>
        <v>old_page</v>
      </c>
      <c r="E1789" s="1">
        <f>IFERROR(__xludf.DUMMYFUNCTION("""COMPUTED_VALUE"""),0.0)</f>
        <v>0</v>
      </c>
    </row>
    <row r="1790">
      <c r="A1790" s="1">
        <f>IFERROR(__xludf.DUMMYFUNCTION("""COMPUTED_VALUE"""),855695.0)</f>
        <v>855695</v>
      </c>
      <c r="B1790" s="2">
        <f>IFERROR(__xludf.DUMMYFUNCTION("""COMPUTED_VALUE"""),42745.919224569836)</f>
        <v>42745.91922</v>
      </c>
      <c r="C1790" s="1" t="str">
        <f>IFERROR(__xludf.DUMMYFUNCTION("""COMPUTED_VALUE"""),"treatment")</f>
        <v>treatment</v>
      </c>
      <c r="D1790" s="1" t="str">
        <f>IFERROR(__xludf.DUMMYFUNCTION("""COMPUTED_VALUE"""),"new_page")</f>
        <v>new_page</v>
      </c>
      <c r="E1790" s="1">
        <f>IFERROR(__xludf.DUMMYFUNCTION("""COMPUTED_VALUE"""),0.0)</f>
        <v>0</v>
      </c>
    </row>
    <row r="1791">
      <c r="A1791" s="1">
        <f>IFERROR(__xludf.DUMMYFUNCTION("""COMPUTED_VALUE"""),689934.0)</f>
        <v>689934</v>
      </c>
      <c r="B1791" s="2">
        <f>IFERROR(__xludf.DUMMYFUNCTION("""COMPUTED_VALUE"""),42750.53918239778)</f>
        <v>42750.53918</v>
      </c>
      <c r="C1791" s="1" t="str">
        <f>IFERROR(__xludf.DUMMYFUNCTION("""COMPUTED_VALUE"""),"treatment")</f>
        <v>treatment</v>
      </c>
      <c r="D1791" s="1" t="str">
        <f>IFERROR(__xludf.DUMMYFUNCTION("""COMPUTED_VALUE"""),"new_page")</f>
        <v>new_page</v>
      </c>
      <c r="E1791" s="1">
        <f>IFERROR(__xludf.DUMMYFUNCTION("""COMPUTED_VALUE"""),0.0)</f>
        <v>0</v>
      </c>
    </row>
    <row r="1792">
      <c r="A1792" s="1">
        <f>IFERROR(__xludf.DUMMYFUNCTION("""COMPUTED_VALUE"""),917393.0)</f>
        <v>917393</v>
      </c>
      <c r="B1792" s="2">
        <f>IFERROR(__xludf.DUMMYFUNCTION("""COMPUTED_VALUE"""),42757.239786453596)</f>
        <v>42757.23979</v>
      </c>
      <c r="C1792" s="1" t="str">
        <f>IFERROR(__xludf.DUMMYFUNCTION("""COMPUTED_VALUE"""),"control")</f>
        <v>control</v>
      </c>
      <c r="D1792" s="1" t="str">
        <f>IFERROR(__xludf.DUMMYFUNCTION("""COMPUTED_VALUE"""),"old_page")</f>
        <v>old_page</v>
      </c>
      <c r="E1792" s="1">
        <f>IFERROR(__xludf.DUMMYFUNCTION("""COMPUTED_VALUE"""),0.0)</f>
        <v>0</v>
      </c>
    </row>
    <row r="1793">
      <c r="A1793" s="1">
        <f>IFERROR(__xludf.DUMMYFUNCTION("""COMPUTED_VALUE"""),816633.0)</f>
        <v>816633</v>
      </c>
      <c r="B1793" s="2">
        <f>IFERROR(__xludf.DUMMYFUNCTION("""COMPUTED_VALUE"""),42757.85448334046)</f>
        <v>42757.85448</v>
      </c>
      <c r="C1793" s="1" t="str">
        <f>IFERROR(__xludf.DUMMYFUNCTION("""COMPUTED_VALUE"""),"control")</f>
        <v>control</v>
      </c>
      <c r="D1793" s="1" t="str">
        <f>IFERROR(__xludf.DUMMYFUNCTION("""COMPUTED_VALUE"""),"old_page")</f>
        <v>old_page</v>
      </c>
      <c r="E1793" s="1">
        <f>IFERROR(__xludf.DUMMYFUNCTION("""COMPUTED_VALUE"""),0.0)</f>
        <v>0</v>
      </c>
    </row>
    <row r="1794">
      <c r="A1794" s="1">
        <f>IFERROR(__xludf.DUMMYFUNCTION("""COMPUTED_VALUE"""),938063.0)</f>
        <v>938063</v>
      </c>
      <c r="B1794" s="2">
        <f>IFERROR(__xludf.DUMMYFUNCTION("""COMPUTED_VALUE"""),42751.351113014134)</f>
        <v>42751.35111</v>
      </c>
      <c r="C1794" s="1" t="str">
        <f>IFERROR(__xludf.DUMMYFUNCTION("""COMPUTED_VALUE"""),"treatment")</f>
        <v>treatment</v>
      </c>
      <c r="D1794" s="1" t="str">
        <f>IFERROR(__xludf.DUMMYFUNCTION("""COMPUTED_VALUE"""),"new_page")</f>
        <v>new_page</v>
      </c>
      <c r="E1794" s="1">
        <f>IFERROR(__xludf.DUMMYFUNCTION("""COMPUTED_VALUE"""),0.0)</f>
        <v>0</v>
      </c>
    </row>
    <row r="1795">
      <c r="A1795" s="1">
        <f>IFERROR(__xludf.DUMMYFUNCTION("""COMPUTED_VALUE"""),706053.0)</f>
        <v>706053</v>
      </c>
      <c r="B1795" s="2">
        <f>IFERROR(__xludf.DUMMYFUNCTION("""COMPUTED_VALUE"""),42751.16434494845)</f>
        <v>42751.16434</v>
      </c>
      <c r="C1795" s="1" t="str">
        <f>IFERROR(__xludf.DUMMYFUNCTION("""COMPUTED_VALUE"""),"treatment")</f>
        <v>treatment</v>
      </c>
      <c r="D1795" s="1" t="str">
        <f>IFERROR(__xludf.DUMMYFUNCTION("""COMPUTED_VALUE"""),"new_page")</f>
        <v>new_page</v>
      </c>
      <c r="E1795" s="1">
        <f>IFERROR(__xludf.DUMMYFUNCTION("""COMPUTED_VALUE"""),0.0)</f>
        <v>0</v>
      </c>
    </row>
    <row r="1796">
      <c r="A1796" s="1">
        <f>IFERROR(__xludf.DUMMYFUNCTION("""COMPUTED_VALUE"""),646953.0)</f>
        <v>646953</v>
      </c>
      <c r="B1796" s="2">
        <f>IFERROR(__xludf.DUMMYFUNCTION("""COMPUTED_VALUE"""),42749.534195735265)</f>
        <v>42749.5342</v>
      </c>
      <c r="C1796" s="1" t="str">
        <f>IFERROR(__xludf.DUMMYFUNCTION("""COMPUTED_VALUE"""),"control")</f>
        <v>control</v>
      </c>
      <c r="D1796" s="1" t="str">
        <f>IFERROR(__xludf.DUMMYFUNCTION("""COMPUTED_VALUE"""),"old_page")</f>
        <v>old_page</v>
      </c>
      <c r="E1796" s="1">
        <f>IFERROR(__xludf.DUMMYFUNCTION("""COMPUTED_VALUE"""),0.0)</f>
        <v>0</v>
      </c>
    </row>
    <row r="1797">
      <c r="A1797" s="1">
        <f>IFERROR(__xludf.DUMMYFUNCTION("""COMPUTED_VALUE"""),691265.0)</f>
        <v>691265</v>
      </c>
      <c r="B1797" s="2">
        <f>IFERROR(__xludf.DUMMYFUNCTION("""COMPUTED_VALUE"""),42754.2519998936)</f>
        <v>42754.252</v>
      </c>
      <c r="C1797" s="1" t="str">
        <f>IFERROR(__xludf.DUMMYFUNCTION("""COMPUTED_VALUE"""),"treatment")</f>
        <v>treatment</v>
      </c>
      <c r="D1797" s="1" t="str">
        <f>IFERROR(__xludf.DUMMYFUNCTION("""COMPUTED_VALUE"""),"new_page")</f>
        <v>new_page</v>
      </c>
      <c r="E1797" s="1">
        <f>IFERROR(__xludf.DUMMYFUNCTION("""COMPUTED_VALUE"""),0.0)</f>
        <v>0</v>
      </c>
    </row>
    <row r="1798">
      <c r="A1798" s="1">
        <f>IFERROR(__xludf.DUMMYFUNCTION("""COMPUTED_VALUE"""),865771.0)</f>
        <v>865771</v>
      </c>
      <c r="B1798" s="2">
        <f>IFERROR(__xludf.DUMMYFUNCTION("""COMPUTED_VALUE"""),42749.83308879991)</f>
        <v>42749.83309</v>
      </c>
      <c r="C1798" s="1" t="str">
        <f>IFERROR(__xludf.DUMMYFUNCTION("""COMPUTED_VALUE"""),"treatment")</f>
        <v>treatment</v>
      </c>
      <c r="D1798" s="1" t="str">
        <f>IFERROR(__xludf.DUMMYFUNCTION("""COMPUTED_VALUE"""),"new_page")</f>
        <v>new_page</v>
      </c>
      <c r="E1798" s="1">
        <f>IFERROR(__xludf.DUMMYFUNCTION("""COMPUTED_VALUE"""),0.0)</f>
        <v>0</v>
      </c>
    </row>
    <row r="1799">
      <c r="A1799" s="1">
        <f>IFERROR(__xludf.DUMMYFUNCTION("""COMPUTED_VALUE"""),715956.0)</f>
        <v>715956</v>
      </c>
      <c r="B1799" s="2">
        <f>IFERROR(__xludf.DUMMYFUNCTION("""COMPUTED_VALUE"""),42743.941674325615)</f>
        <v>42743.94167</v>
      </c>
      <c r="C1799" s="1" t="str">
        <f>IFERROR(__xludf.DUMMYFUNCTION("""COMPUTED_VALUE"""),"treatment")</f>
        <v>treatment</v>
      </c>
      <c r="D1799" s="1" t="str">
        <f>IFERROR(__xludf.DUMMYFUNCTION("""COMPUTED_VALUE"""),"new_page")</f>
        <v>new_page</v>
      </c>
      <c r="E1799" s="1">
        <f>IFERROR(__xludf.DUMMYFUNCTION("""COMPUTED_VALUE"""),0.0)</f>
        <v>0</v>
      </c>
    </row>
    <row r="1800">
      <c r="A1800" s="1">
        <f>IFERROR(__xludf.DUMMYFUNCTION("""COMPUTED_VALUE"""),840355.0)</f>
        <v>840355</v>
      </c>
      <c r="B1800" s="2">
        <f>IFERROR(__xludf.DUMMYFUNCTION("""COMPUTED_VALUE"""),42747.2819860042)</f>
        <v>42747.28199</v>
      </c>
      <c r="C1800" s="1" t="str">
        <f>IFERROR(__xludf.DUMMYFUNCTION("""COMPUTED_VALUE"""),"treatment")</f>
        <v>treatment</v>
      </c>
      <c r="D1800" s="1" t="str">
        <f>IFERROR(__xludf.DUMMYFUNCTION("""COMPUTED_VALUE"""),"new_page")</f>
        <v>new_page</v>
      </c>
      <c r="E1800" s="1">
        <f>IFERROR(__xludf.DUMMYFUNCTION("""COMPUTED_VALUE"""),0.0)</f>
        <v>0</v>
      </c>
    </row>
    <row r="1801">
      <c r="A1801" s="1">
        <f>IFERROR(__xludf.DUMMYFUNCTION("""COMPUTED_VALUE"""),700587.0)</f>
        <v>700587</v>
      </c>
      <c r="B1801" s="2">
        <f>IFERROR(__xludf.DUMMYFUNCTION("""COMPUTED_VALUE"""),42741.84904496543)</f>
        <v>42741.84904</v>
      </c>
      <c r="C1801" s="1" t="str">
        <f>IFERROR(__xludf.DUMMYFUNCTION("""COMPUTED_VALUE"""),"control")</f>
        <v>control</v>
      </c>
      <c r="D1801" s="1" t="str">
        <f>IFERROR(__xludf.DUMMYFUNCTION("""COMPUTED_VALUE"""),"old_page")</f>
        <v>old_page</v>
      </c>
      <c r="E1801" s="1">
        <f>IFERROR(__xludf.DUMMYFUNCTION("""COMPUTED_VALUE"""),1.0)</f>
        <v>1</v>
      </c>
    </row>
    <row r="1802">
      <c r="A1802" s="1">
        <f>IFERROR(__xludf.DUMMYFUNCTION("""COMPUTED_VALUE"""),702186.0)</f>
        <v>702186</v>
      </c>
      <c r="B1802" s="2">
        <f>IFERROR(__xludf.DUMMYFUNCTION("""COMPUTED_VALUE"""),42750.01112716801)</f>
        <v>42750.01113</v>
      </c>
      <c r="C1802" s="1" t="str">
        <f>IFERROR(__xludf.DUMMYFUNCTION("""COMPUTED_VALUE"""),"treatment")</f>
        <v>treatment</v>
      </c>
      <c r="D1802" s="1" t="str">
        <f>IFERROR(__xludf.DUMMYFUNCTION("""COMPUTED_VALUE"""),"new_page")</f>
        <v>new_page</v>
      </c>
      <c r="E1802" s="1">
        <f>IFERROR(__xludf.DUMMYFUNCTION("""COMPUTED_VALUE"""),0.0)</f>
        <v>0</v>
      </c>
    </row>
    <row r="1803">
      <c r="A1803" s="1">
        <f>IFERROR(__xludf.DUMMYFUNCTION("""COMPUTED_VALUE"""),847763.0)</f>
        <v>847763</v>
      </c>
      <c r="B1803" s="2">
        <f>IFERROR(__xludf.DUMMYFUNCTION("""COMPUTED_VALUE"""),42743.67307262376)</f>
        <v>42743.67307</v>
      </c>
      <c r="C1803" s="1" t="str">
        <f>IFERROR(__xludf.DUMMYFUNCTION("""COMPUTED_VALUE"""),"treatment")</f>
        <v>treatment</v>
      </c>
      <c r="D1803" s="1" t="str">
        <f>IFERROR(__xludf.DUMMYFUNCTION("""COMPUTED_VALUE"""),"new_page")</f>
        <v>new_page</v>
      </c>
      <c r="E1803" s="1">
        <f>IFERROR(__xludf.DUMMYFUNCTION("""COMPUTED_VALUE"""),0.0)</f>
        <v>0</v>
      </c>
    </row>
    <row r="1804">
      <c r="A1804" s="1">
        <f>IFERROR(__xludf.DUMMYFUNCTION("""COMPUTED_VALUE"""),793103.0)</f>
        <v>793103</v>
      </c>
      <c r="B1804" s="2">
        <f>IFERROR(__xludf.DUMMYFUNCTION("""COMPUTED_VALUE"""),42744.66902575739)</f>
        <v>42744.66903</v>
      </c>
      <c r="C1804" s="1" t="str">
        <f>IFERROR(__xludf.DUMMYFUNCTION("""COMPUTED_VALUE"""),"treatment")</f>
        <v>treatment</v>
      </c>
      <c r="D1804" s="1" t="str">
        <f>IFERROR(__xludf.DUMMYFUNCTION("""COMPUTED_VALUE"""),"new_page")</f>
        <v>new_page</v>
      </c>
      <c r="E1804" s="1">
        <f>IFERROR(__xludf.DUMMYFUNCTION("""COMPUTED_VALUE"""),0.0)</f>
        <v>0</v>
      </c>
    </row>
    <row r="1805">
      <c r="A1805" s="1">
        <f>IFERROR(__xludf.DUMMYFUNCTION("""COMPUTED_VALUE"""),830211.0)</f>
        <v>830211</v>
      </c>
      <c r="B1805" s="2">
        <f>IFERROR(__xludf.DUMMYFUNCTION("""COMPUTED_VALUE"""),42739.60711973281)</f>
        <v>42739.60712</v>
      </c>
      <c r="C1805" s="1" t="str">
        <f>IFERROR(__xludf.DUMMYFUNCTION("""COMPUTED_VALUE"""),"control")</f>
        <v>control</v>
      </c>
      <c r="D1805" s="1" t="str">
        <f>IFERROR(__xludf.DUMMYFUNCTION("""COMPUTED_VALUE"""),"old_page")</f>
        <v>old_page</v>
      </c>
      <c r="E1805" s="1">
        <f>IFERROR(__xludf.DUMMYFUNCTION("""COMPUTED_VALUE"""),0.0)</f>
        <v>0</v>
      </c>
    </row>
    <row r="1806">
      <c r="A1806" s="1">
        <f>IFERROR(__xludf.DUMMYFUNCTION("""COMPUTED_VALUE"""),711667.0)</f>
        <v>711667</v>
      </c>
      <c r="B1806" s="2">
        <f>IFERROR(__xludf.DUMMYFUNCTION("""COMPUTED_VALUE"""),42750.176700297445)</f>
        <v>42750.1767</v>
      </c>
      <c r="C1806" s="1" t="str">
        <f>IFERROR(__xludf.DUMMYFUNCTION("""COMPUTED_VALUE"""),"control")</f>
        <v>control</v>
      </c>
      <c r="D1806" s="1" t="str">
        <f>IFERROR(__xludf.DUMMYFUNCTION("""COMPUTED_VALUE"""),"old_page")</f>
        <v>old_page</v>
      </c>
      <c r="E1806" s="1">
        <f>IFERROR(__xludf.DUMMYFUNCTION("""COMPUTED_VALUE"""),1.0)</f>
        <v>1</v>
      </c>
    </row>
    <row r="1807">
      <c r="A1807" s="1">
        <f>IFERROR(__xludf.DUMMYFUNCTION("""COMPUTED_VALUE"""),866650.0)</f>
        <v>866650</v>
      </c>
      <c r="B1807" s="2">
        <f>IFERROR(__xludf.DUMMYFUNCTION("""COMPUTED_VALUE"""),42742.18178262819)</f>
        <v>42742.18178</v>
      </c>
      <c r="C1807" s="1" t="str">
        <f>IFERROR(__xludf.DUMMYFUNCTION("""COMPUTED_VALUE"""),"control")</f>
        <v>control</v>
      </c>
      <c r="D1807" s="1" t="str">
        <f>IFERROR(__xludf.DUMMYFUNCTION("""COMPUTED_VALUE"""),"old_page")</f>
        <v>old_page</v>
      </c>
      <c r="E1807" s="1">
        <f>IFERROR(__xludf.DUMMYFUNCTION("""COMPUTED_VALUE"""),0.0)</f>
        <v>0</v>
      </c>
    </row>
    <row r="1808">
      <c r="A1808" s="1">
        <f>IFERROR(__xludf.DUMMYFUNCTION("""COMPUTED_VALUE"""),827198.0)</f>
        <v>827198</v>
      </c>
      <c r="B1808" s="2">
        <f>IFERROR(__xludf.DUMMYFUNCTION("""COMPUTED_VALUE"""),42750.81526473626)</f>
        <v>42750.81526</v>
      </c>
      <c r="C1808" s="1" t="str">
        <f>IFERROR(__xludf.DUMMYFUNCTION("""COMPUTED_VALUE"""),"treatment")</f>
        <v>treatment</v>
      </c>
      <c r="D1808" s="1" t="str">
        <f>IFERROR(__xludf.DUMMYFUNCTION("""COMPUTED_VALUE"""),"new_page")</f>
        <v>new_page</v>
      </c>
      <c r="E1808" s="1">
        <f>IFERROR(__xludf.DUMMYFUNCTION("""COMPUTED_VALUE"""),0.0)</f>
        <v>0</v>
      </c>
    </row>
    <row r="1809">
      <c r="A1809" s="1">
        <f>IFERROR(__xludf.DUMMYFUNCTION("""COMPUTED_VALUE"""),713118.0)</f>
        <v>713118</v>
      </c>
      <c r="B1809" s="2">
        <f>IFERROR(__xludf.DUMMYFUNCTION("""COMPUTED_VALUE"""),42742.65084692568)</f>
        <v>42742.65085</v>
      </c>
      <c r="C1809" s="1" t="str">
        <f>IFERROR(__xludf.DUMMYFUNCTION("""COMPUTED_VALUE"""),"control")</f>
        <v>control</v>
      </c>
      <c r="D1809" s="1" t="str">
        <f>IFERROR(__xludf.DUMMYFUNCTION("""COMPUTED_VALUE"""),"old_page")</f>
        <v>old_page</v>
      </c>
      <c r="E1809" s="1">
        <f>IFERROR(__xludf.DUMMYFUNCTION("""COMPUTED_VALUE"""),0.0)</f>
        <v>0</v>
      </c>
    </row>
    <row r="1810">
      <c r="A1810" s="1">
        <f>IFERROR(__xludf.DUMMYFUNCTION("""COMPUTED_VALUE"""),672063.0)</f>
        <v>672063</v>
      </c>
      <c r="B1810" s="2">
        <f>IFERROR(__xludf.DUMMYFUNCTION("""COMPUTED_VALUE"""),42753.271948613794)</f>
        <v>42753.27195</v>
      </c>
      <c r="C1810" s="1" t="str">
        <f>IFERROR(__xludf.DUMMYFUNCTION("""COMPUTED_VALUE"""),"treatment")</f>
        <v>treatment</v>
      </c>
      <c r="D1810" s="1" t="str">
        <f>IFERROR(__xludf.DUMMYFUNCTION("""COMPUTED_VALUE"""),"new_page")</f>
        <v>new_page</v>
      </c>
      <c r="E1810" s="1">
        <f>IFERROR(__xludf.DUMMYFUNCTION("""COMPUTED_VALUE"""),0.0)</f>
        <v>0</v>
      </c>
    </row>
    <row r="1811">
      <c r="A1811" s="1">
        <f>IFERROR(__xludf.DUMMYFUNCTION("""COMPUTED_VALUE"""),932801.0)</f>
        <v>932801</v>
      </c>
      <c r="B1811" s="2">
        <f>IFERROR(__xludf.DUMMYFUNCTION("""COMPUTED_VALUE"""),42753.278410645464)</f>
        <v>42753.27841</v>
      </c>
      <c r="C1811" s="1" t="str">
        <f>IFERROR(__xludf.DUMMYFUNCTION("""COMPUTED_VALUE"""),"control")</f>
        <v>control</v>
      </c>
      <c r="D1811" s="1" t="str">
        <f>IFERROR(__xludf.DUMMYFUNCTION("""COMPUTED_VALUE"""),"old_page")</f>
        <v>old_page</v>
      </c>
      <c r="E1811" s="1">
        <f>IFERROR(__xludf.DUMMYFUNCTION("""COMPUTED_VALUE"""),0.0)</f>
        <v>0</v>
      </c>
    </row>
    <row r="1812">
      <c r="A1812" s="1">
        <f>IFERROR(__xludf.DUMMYFUNCTION("""COMPUTED_VALUE"""),864402.0)</f>
        <v>864402</v>
      </c>
      <c r="B1812" s="2">
        <f>IFERROR(__xludf.DUMMYFUNCTION("""COMPUTED_VALUE"""),42758.24076471933)</f>
        <v>42758.24076</v>
      </c>
      <c r="C1812" s="1" t="str">
        <f>IFERROR(__xludf.DUMMYFUNCTION("""COMPUTED_VALUE"""),"control")</f>
        <v>control</v>
      </c>
      <c r="D1812" s="1" t="str">
        <f>IFERROR(__xludf.DUMMYFUNCTION("""COMPUTED_VALUE"""),"old_page")</f>
        <v>old_page</v>
      </c>
      <c r="E1812" s="1">
        <f>IFERROR(__xludf.DUMMYFUNCTION("""COMPUTED_VALUE"""),1.0)</f>
        <v>1</v>
      </c>
    </row>
    <row r="1813">
      <c r="A1813" s="1">
        <f>IFERROR(__xludf.DUMMYFUNCTION("""COMPUTED_VALUE"""),926390.0)</f>
        <v>926390</v>
      </c>
      <c r="B1813" s="2">
        <f>IFERROR(__xludf.DUMMYFUNCTION("""COMPUTED_VALUE"""),42750.80195406448)</f>
        <v>42750.80195</v>
      </c>
      <c r="C1813" s="1" t="str">
        <f>IFERROR(__xludf.DUMMYFUNCTION("""COMPUTED_VALUE"""),"control")</f>
        <v>control</v>
      </c>
      <c r="D1813" s="1" t="str">
        <f>IFERROR(__xludf.DUMMYFUNCTION("""COMPUTED_VALUE"""),"old_page")</f>
        <v>old_page</v>
      </c>
      <c r="E1813" s="1">
        <f>IFERROR(__xludf.DUMMYFUNCTION("""COMPUTED_VALUE"""),0.0)</f>
        <v>0</v>
      </c>
    </row>
    <row r="1814">
      <c r="A1814" s="1">
        <f>IFERROR(__xludf.DUMMYFUNCTION("""COMPUTED_VALUE"""),802793.0)</f>
        <v>802793</v>
      </c>
      <c r="B1814" s="2">
        <f>IFERROR(__xludf.DUMMYFUNCTION("""COMPUTED_VALUE"""),42751.48541901753)</f>
        <v>42751.48542</v>
      </c>
      <c r="C1814" s="1" t="str">
        <f>IFERROR(__xludf.DUMMYFUNCTION("""COMPUTED_VALUE"""),"control")</f>
        <v>control</v>
      </c>
      <c r="D1814" s="1" t="str">
        <f>IFERROR(__xludf.DUMMYFUNCTION("""COMPUTED_VALUE"""),"old_page")</f>
        <v>old_page</v>
      </c>
      <c r="E1814" s="1">
        <f>IFERROR(__xludf.DUMMYFUNCTION("""COMPUTED_VALUE"""),0.0)</f>
        <v>0</v>
      </c>
    </row>
    <row r="1815">
      <c r="A1815" s="1">
        <f>IFERROR(__xludf.DUMMYFUNCTION("""COMPUTED_VALUE"""),724919.0)</f>
        <v>724919</v>
      </c>
      <c r="B1815" s="2">
        <f>IFERROR(__xludf.DUMMYFUNCTION("""COMPUTED_VALUE"""),42756.39335727117)</f>
        <v>42756.39336</v>
      </c>
      <c r="C1815" s="1" t="str">
        <f>IFERROR(__xludf.DUMMYFUNCTION("""COMPUTED_VALUE"""),"treatment")</f>
        <v>treatment</v>
      </c>
      <c r="D1815" s="1" t="str">
        <f>IFERROR(__xludf.DUMMYFUNCTION("""COMPUTED_VALUE"""),"new_page")</f>
        <v>new_page</v>
      </c>
      <c r="E1815" s="1">
        <f>IFERROR(__xludf.DUMMYFUNCTION("""COMPUTED_VALUE"""),0.0)</f>
        <v>0</v>
      </c>
    </row>
    <row r="1816">
      <c r="A1816" s="1">
        <f>IFERROR(__xludf.DUMMYFUNCTION("""COMPUTED_VALUE"""),856704.0)</f>
        <v>856704</v>
      </c>
      <c r="B1816" s="2">
        <f>IFERROR(__xludf.DUMMYFUNCTION("""COMPUTED_VALUE"""),42741.76288697317)</f>
        <v>42741.76289</v>
      </c>
      <c r="C1816" s="1" t="str">
        <f>IFERROR(__xludf.DUMMYFUNCTION("""COMPUTED_VALUE"""),"treatment")</f>
        <v>treatment</v>
      </c>
      <c r="D1816" s="1" t="str">
        <f>IFERROR(__xludf.DUMMYFUNCTION("""COMPUTED_VALUE"""),"new_page")</f>
        <v>new_page</v>
      </c>
      <c r="E1816" s="1">
        <f>IFERROR(__xludf.DUMMYFUNCTION("""COMPUTED_VALUE"""),0.0)</f>
        <v>0</v>
      </c>
    </row>
    <row r="1817">
      <c r="A1817" s="1">
        <f>IFERROR(__xludf.DUMMYFUNCTION("""COMPUTED_VALUE"""),836233.0)</f>
        <v>836233</v>
      </c>
      <c r="B1817" s="2">
        <f>IFERROR(__xludf.DUMMYFUNCTION("""COMPUTED_VALUE"""),42753.76574501425)</f>
        <v>42753.76575</v>
      </c>
      <c r="C1817" s="1" t="str">
        <f>IFERROR(__xludf.DUMMYFUNCTION("""COMPUTED_VALUE"""),"treatment")</f>
        <v>treatment</v>
      </c>
      <c r="D1817" s="1" t="str">
        <f>IFERROR(__xludf.DUMMYFUNCTION("""COMPUTED_VALUE"""),"new_page")</f>
        <v>new_page</v>
      </c>
      <c r="E1817" s="1">
        <f>IFERROR(__xludf.DUMMYFUNCTION("""COMPUTED_VALUE"""),0.0)</f>
        <v>0</v>
      </c>
    </row>
    <row r="1818">
      <c r="A1818" s="1">
        <f>IFERROR(__xludf.DUMMYFUNCTION("""COMPUTED_VALUE"""),889344.0)</f>
        <v>889344</v>
      </c>
      <c r="B1818" s="2">
        <f>IFERROR(__xludf.DUMMYFUNCTION("""COMPUTED_VALUE"""),42741.020701281086)</f>
        <v>42741.0207</v>
      </c>
      <c r="C1818" s="1" t="str">
        <f>IFERROR(__xludf.DUMMYFUNCTION("""COMPUTED_VALUE"""),"control")</f>
        <v>control</v>
      </c>
      <c r="D1818" s="1" t="str">
        <f>IFERROR(__xludf.DUMMYFUNCTION("""COMPUTED_VALUE"""),"old_page")</f>
        <v>old_page</v>
      </c>
      <c r="E1818" s="1">
        <f>IFERROR(__xludf.DUMMYFUNCTION("""COMPUTED_VALUE"""),1.0)</f>
        <v>1</v>
      </c>
    </row>
    <row r="1819">
      <c r="A1819" s="1">
        <f>IFERROR(__xludf.DUMMYFUNCTION("""COMPUTED_VALUE"""),941635.0)</f>
        <v>941635</v>
      </c>
      <c r="B1819" s="2">
        <f>IFERROR(__xludf.DUMMYFUNCTION("""COMPUTED_VALUE"""),42743.24652323937)</f>
        <v>42743.24652</v>
      </c>
      <c r="C1819" s="1" t="str">
        <f>IFERROR(__xludf.DUMMYFUNCTION("""COMPUTED_VALUE"""),"treatment")</f>
        <v>treatment</v>
      </c>
      <c r="D1819" s="1" t="str">
        <f>IFERROR(__xludf.DUMMYFUNCTION("""COMPUTED_VALUE"""),"new_page")</f>
        <v>new_page</v>
      </c>
      <c r="E1819" s="1">
        <f>IFERROR(__xludf.DUMMYFUNCTION("""COMPUTED_VALUE"""),0.0)</f>
        <v>0</v>
      </c>
    </row>
    <row r="1820">
      <c r="A1820" s="1">
        <f>IFERROR(__xludf.DUMMYFUNCTION("""COMPUTED_VALUE"""),822386.0)</f>
        <v>822386</v>
      </c>
      <c r="B1820" s="2">
        <f>IFERROR(__xludf.DUMMYFUNCTION("""COMPUTED_VALUE"""),42754.114904067654)</f>
        <v>42754.1149</v>
      </c>
      <c r="C1820" s="1" t="str">
        <f>IFERROR(__xludf.DUMMYFUNCTION("""COMPUTED_VALUE"""),"control")</f>
        <v>control</v>
      </c>
      <c r="D1820" s="1" t="str">
        <f>IFERROR(__xludf.DUMMYFUNCTION("""COMPUTED_VALUE"""),"old_page")</f>
        <v>old_page</v>
      </c>
      <c r="E1820" s="1">
        <f>IFERROR(__xludf.DUMMYFUNCTION("""COMPUTED_VALUE"""),0.0)</f>
        <v>0</v>
      </c>
    </row>
    <row r="1821">
      <c r="A1821" s="1">
        <f>IFERROR(__xludf.DUMMYFUNCTION("""COMPUTED_VALUE"""),665372.0)</f>
        <v>665372</v>
      </c>
      <c r="B1821" s="2">
        <f>IFERROR(__xludf.DUMMYFUNCTION("""COMPUTED_VALUE"""),42750.41765856338)</f>
        <v>42750.41766</v>
      </c>
      <c r="C1821" s="1" t="str">
        <f>IFERROR(__xludf.DUMMYFUNCTION("""COMPUTED_VALUE"""),"treatment")</f>
        <v>treatment</v>
      </c>
      <c r="D1821" s="1" t="str">
        <f>IFERROR(__xludf.DUMMYFUNCTION("""COMPUTED_VALUE"""),"new_page")</f>
        <v>new_page</v>
      </c>
      <c r="E1821" s="1">
        <f>IFERROR(__xludf.DUMMYFUNCTION("""COMPUTED_VALUE"""),0.0)</f>
        <v>0</v>
      </c>
    </row>
    <row r="1822">
      <c r="A1822" s="1">
        <f>IFERROR(__xludf.DUMMYFUNCTION("""COMPUTED_VALUE"""),918554.0)</f>
        <v>918554</v>
      </c>
      <c r="B1822" s="2">
        <f>IFERROR(__xludf.DUMMYFUNCTION("""COMPUTED_VALUE"""),42740.80349229517)</f>
        <v>42740.80349</v>
      </c>
      <c r="C1822" s="1" t="str">
        <f>IFERROR(__xludf.DUMMYFUNCTION("""COMPUTED_VALUE"""),"control")</f>
        <v>control</v>
      </c>
      <c r="D1822" s="1" t="str">
        <f>IFERROR(__xludf.DUMMYFUNCTION("""COMPUTED_VALUE"""),"old_page")</f>
        <v>old_page</v>
      </c>
      <c r="E1822" s="1">
        <f>IFERROR(__xludf.DUMMYFUNCTION("""COMPUTED_VALUE"""),1.0)</f>
        <v>1</v>
      </c>
    </row>
    <row r="1823">
      <c r="A1823" s="1">
        <f>IFERROR(__xludf.DUMMYFUNCTION("""COMPUTED_VALUE"""),660205.0)</f>
        <v>660205</v>
      </c>
      <c r="B1823" s="2">
        <f>IFERROR(__xludf.DUMMYFUNCTION("""COMPUTED_VALUE"""),42748.314480187386)</f>
        <v>42748.31448</v>
      </c>
      <c r="C1823" s="1" t="str">
        <f>IFERROR(__xludf.DUMMYFUNCTION("""COMPUTED_VALUE"""),"treatment")</f>
        <v>treatment</v>
      </c>
      <c r="D1823" s="1" t="str">
        <f>IFERROR(__xludf.DUMMYFUNCTION("""COMPUTED_VALUE"""),"new_page")</f>
        <v>new_page</v>
      </c>
      <c r="E1823" s="1">
        <f>IFERROR(__xludf.DUMMYFUNCTION("""COMPUTED_VALUE"""),0.0)</f>
        <v>0</v>
      </c>
    </row>
    <row r="1824">
      <c r="A1824" s="1">
        <f>IFERROR(__xludf.DUMMYFUNCTION("""COMPUTED_VALUE"""),897070.0)</f>
        <v>897070</v>
      </c>
      <c r="B1824" s="2">
        <f>IFERROR(__xludf.DUMMYFUNCTION("""COMPUTED_VALUE"""),42756.38122520811)</f>
        <v>42756.38123</v>
      </c>
      <c r="C1824" s="1" t="str">
        <f>IFERROR(__xludf.DUMMYFUNCTION("""COMPUTED_VALUE"""),"control")</f>
        <v>control</v>
      </c>
      <c r="D1824" s="1" t="str">
        <f>IFERROR(__xludf.DUMMYFUNCTION("""COMPUTED_VALUE"""),"old_page")</f>
        <v>old_page</v>
      </c>
      <c r="E1824" s="1">
        <f>IFERROR(__xludf.DUMMYFUNCTION("""COMPUTED_VALUE"""),0.0)</f>
        <v>0</v>
      </c>
    </row>
    <row r="1825">
      <c r="A1825" s="1">
        <f>IFERROR(__xludf.DUMMYFUNCTION("""COMPUTED_VALUE"""),775382.0)</f>
        <v>775382</v>
      </c>
      <c r="B1825" s="2">
        <f>IFERROR(__xludf.DUMMYFUNCTION("""COMPUTED_VALUE"""),42751.338360943206)</f>
        <v>42751.33836</v>
      </c>
      <c r="C1825" s="1" t="str">
        <f>IFERROR(__xludf.DUMMYFUNCTION("""COMPUTED_VALUE"""),"treatment")</f>
        <v>treatment</v>
      </c>
      <c r="D1825" s="1" t="str">
        <f>IFERROR(__xludf.DUMMYFUNCTION("""COMPUTED_VALUE"""),"new_page")</f>
        <v>new_page</v>
      </c>
      <c r="E1825" s="1">
        <f>IFERROR(__xludf.DUMMYFUNCTION("""COMPUTED_VALUE"""),0.0)</f>
        <v>0</v>
      </c>
    </row>
    <row r="1826">
      <c r="A1826" s="1">
        <f>IFERROR(__xludf.DUMMYFUNCTION("""COMPUTED_VALUE"""),790826.0)</f>
        <v>790826</v>
      </c>
      <c r="B1826" s="2">
        <f>IFERROR(__xludf.DUMMYFUNCTION("""COMPUTED_VALUE"""),42753.87383850283)</f>
        <v>42753.87384</v>
      </c>
      <c r="C1826" s="1" t="str">
        <f>IFERROR(__xludf.DUMMYFUNCTION("""COMPUTED_VALUE"""),"treatment")</f>
        <v>treatment</v>
      </c>
      <c r="D1826" s="1" t="str">
        <f>IFERROR(__xludf.DUMMYFUNCTION("""COMPUTED_VALUE"""),"new_page")</f>
        <v>new_page</v>
      </c>
      <c r="E1826" s="1">
        <f>IFERROR(__xludf.DUMMYFUNCTION("""COMPUTED_VALUE"""),0.0)</f>
        <v>0</v>
      </c>
    </row>
    <row r="1827">
      <c r="A1827" s="1">
        <f>IFERROR(__xludf.DUMMYFUNCTION("""COMPUTED_VALUE"""),765129.0)</f>
        <v>765129</v>
      </c>
      <c r="B1827" s="2">
        <f>IFERROR(__xludf.DUMMYFUNCTION("""COMPUTED_VALUE"""),42751.37357216424)</f>
        <v>42751.37357</v>
      </c>
      <c r="C1827" s="1" t="str">
        <f>IFERROR(__xludf.DUMMYFUNCTION("""COMPUTED_VALUE"""),"control")</f>
        <v>control</v>
      </c>
      <c r="D1827" s="1" t="str">
        <f>IFERROR(__xludf.DUMMYFUNCTION("""COMPUTED_VALUE"""),"old_page")</f>
        <v>old_page</v>
      </c>
      <c r="E1827" s="1">
        <f>IFERROR(__xludf.DUMMYFUNCTION("""COMPUTED_VALUE"""),1.0)</f>
        <v>1</v>
      </c>
    </row>
    <row r="1828">
      <c r="A1828" s="1">
        <f>IFERROR(__xludf.DUMMYFUNCTION("""COMPUTED_VALUE"""),706263.0)</f>
        <v>706263</v>
      </c>
      <c r="B1828" s="2">
        <f>IFERROR(__xludf.DUMMYFUNCTION("""COMPUTED_VALUE"""),42739.3985510863)</f>
        <v>42739.39855</v>
      </c>
      <c r="C1828" s="1" t="str">
        <f>IFERROR(__xludf.DUMMYFUNCTION("""COMPUTED_VALUE"""),"treatment")</f>
        <v>treatment</v>
      </c>
      <c r="D1828" s="1" t="str">
        <f>IFERROR(__xludf.DUMMYFUNCTION("""COMPUTED_VALUE"""),"new_page")</f>
        <v>new_page</v>
      </c>
      <c r="E1828" s="1">
        <f>IFERROR(__xludf.DUMMYFUNCTION("""COMPUTED_VALUE"""),0.0)</f>
        <v>0</v>
      </c>
    </row>
    <row r="1829">
      <c r="A1829" s="1">
        <f>IFERROR(__xludf.DUMMYFUNCTION("""COMPUTED_VALUE"""),686790.0)</f>
        <v>686790</v>
      </c>
      <c r="B1829" s="2">
        <f>IFERROR(__xludf.DUMMYFUNCTION("""COMPUTED_VALUE"""),42756.4883064396)</f>
        <v>42756.48831</v>
      </c>
      <c r="C1829" s="1" t="str">
        <f>IFERROR(__xludf.DUMMYFUNCTION("""COMPUTED_VALUE"""),"treatment")</f>
        <v>treatment</v>
      </c>
      <c r="D1829" s="1" t="str">
        <f>IFERROR(__xludf.DUMMYFUNCTION("""COMPUTED_VALUE"""),"new_page")</f>
        <v>new_page</v>
      </c>
      <c r="E1829" s="1">
        <f>IFERROR(__xludf.DUMMYFUNCTION("""COMPUTED_VALUE"""),0.0)</f>
        <v>0</v>
      </c>
    </row>
    <row r="1830">
      <c r="A1830" s="1">
        <f>IFERROR(__xludf.DUMMYFUNCTION("""COMPUTED_VALUE"""),775150.0)</f>
        <v>775150</v>
      </c>
      <c r="B1830" s="2">
        <f>IFERROR(__xludf.DUMMYFUNCTION("""COMPUTED_VALUE"""),42756.26895021072)</f>
        <v>42756.26895</v>
      </c>
      <c r="C1830" s="1" t="str">
        <f>IFERROR(__xludf.DUMMYFUNCTION("""COMPUTED_VALUE"""),"control")</f>
        <v>control</v>
      </c>
      <c r="D1830" s="1" t="str">
        <f>IFERROR(__xludf.DUMMYFUNCTION("""COMPUTED_VALUE"""),"old_page")</f>
        <v>old_page</v>
      </c>
      <c r="E1830" s="1">
        <f>IFERROR(__xludf.DUMMYFUNCTION("""COMPUTED_VALUE"""),0.0)</f>
        <v>0</v>
      </c>
    </row>
    <row r="1831">
      <c r="A1831" s="1">
        <f>IFERROR(__xludf.DUMMYFUNCTION("""COMPUTED_VALUE"""),928113.0)</f>
        <v>928113</v>
      </c>
      <c r="B1831" s="2">
        <f>IFERROR(__xludf.DUMMYFUNCTION("""COMPUTED_VALUE"""),42738.35443932538)</f>
        <v>42738.35444</v>
      </c>
      <c r="C1831" s="1" t="str">
        <f>IFERROR(__xludf.DUMMYFUNCTION("""COMPUTED_VALUE"""),"control")</f>
        <v>control</v>
      </c>
      <c r="D1831" s="1" t="str">
        <f>IFERROR(__xludf.DUMMYFUNCTION("""COMPUTED_VALUE"""),"old_page")</f>
        <v>old_page</v>
      </c>
      <c r="E1831" s="1">
        <f>IFERROR(__xludf.DUMMYFUNCTION("""COMPUTED_VALUE"""),0.0)</f>
        <v>0</v>
      </c>
    </row>
    <row r="1832">
      <c r="A1832" s="1">
        <f>IFERROR(__xludf.DUMMYFUNCTION("""COMPUTED_VALUE"""),794861.0)</f>
        <v>794861</v>
      </c>
      <c r="B1832" s="2">
        <f>IFERROR(__xludf.DUMMYFUNCTION("""COMPUTED_VALUE"""),42755.57880855555)</f>
        <v>42755.57881</v>
      </c>
      <c r="C1832" s="1" t="str">
        <f>IFERROR(__xludf.DUMMYFUNCTION("""COMPUTED_VALUE"""),"treatment")</f>
        <v>treatment</v>
      </c>
      <c r="D1832" s="1" t="str">
        <f>IFERROR(__xludf.DUMMYFUNCTION("""COMPUTED_VALUE"""),"new_page")</f>
        <v>new_page</v>
      </c>
      <c r="E1832" s="1">
        <f>IFERROR(__xludf.DUMMYFUNCTION("""COMPUTED_VALUE"""),0.0)</f>
        <v>0</v>
      </c>
    </row>
    <row r="1833">
      <c r="A1833" s="1">
        <f>IFERROR(__xludf.DUMMYFUNCTION("""COMPUTED_VALUE"""),799068.0)</f>
        <v>799068</v>
      </c>
      <c r="B1833" s="2">
        <f>IFERROR(__xludf.DUMMYFUNCTION("""COMPUTED_VALUE"""),42755.91443463923)</f>
        <v>42755.91443</v>
      </c>
      <c r="C1833" s="1" t="str">
        <f>IFERROR(__xludf.DUMMYFUNCTION("""COMPUTED_VALUE"""),"treatment")</f>
        <v>treatment</v>
      </c>
      <c r="D1833" s="1" t="str">
        <f>IFERROR(__xludf.DUMMYFUNCTION("""COMPUTED_VALUE"""),"new_page")</f>
        <v>new_page</v>
      </c>
      <c r="E1833" s="1">
        <f>IFERROR(__xludf.DUMMYFUNCTION("""COMPUTED_VALUE"""),0.0)</f>
        <v>0</v>
      </c>
    </row>
    <row r="1834">
      <c r="A1834" s="1">
        <f>IFERROR(__xludf.DUMMYFUNCTION("""COMPUTED_VALUE"""),924181.0)</f>
        <v>924181</v>
      </c>
      <c r="B1834" s="2">
        <f>IFERROR(__xludf.DUMMYFUNCTION("""COMPUTED_VALUE"""),42749.50605849537)</f>
        <v>42749.50606</v>
      </c>
      <c r="C1834" s="1" t="str">
        <f>IFERROR(__xludf.DUMMYFUNCTION("""COMPUTED_VALUE"""),"control")</f>
        <v>control</v>
      </c>
      <c r="D1834" s="1" t="str">
        <f>IFERROR(__xludf.DUMMYFUNCTION("""COMPUTED_VALUE"""),"old_page")</f>
        <v>old_page</v>
      </c>
      <c r="E1834" s="1">
        <f>IFERROR(__xludf.DUMMYFUNCTION("""COMPUTED_VALUE"""),0.0)</f>
        <v>0</v>
      </c>
    </row>
    <row r="1835">
      <c r="A1835" s="1">
        <f>IFERROR(__xludf.DUMMYFUNCTION("""COMPUTED_VALUE"""),884122.0)</f>
        <v>884122</v>
      </c>
      <c r="B1835" s="2">
        <f>IFERROR(__xludf.DUMMYFUNCTION("""COMPUTED_VALUE"""),42746.653964333076)</f>
        <v>42746.65396</v>
      </c>
      <c r="C1835" s="1" t="str">
        <f>IFERROR(__xludf.DUMMYFUNCTION("""COMPUTED_VALUE"""),"treatment")</f>
        <v>treatment</v>
      </c>
      <c r="D1835" s="1" t="str">
        <f>IFERROR(__xludf.DUMMYFUNCTION("""COMPUTED_VALUE"""),"new_page")</f>
        <v>new_page</v>
      </c>
      <c r="E1835" s="1">
        <f>IFERROR(__xludf.DUMMYFUNCTION("""COMPUTED_VALUE"""),0.0)</f>
        <v>0</v>
      </c>
    </row>
    <row r="1836">
      <c r="A1836" s="1">
        <f>IFERROR(__xludf.DUMMYFUNCTION("""COMPUTED_VALUE"""),882500.0)</f>
        <v>882500</v>
      </c>
      <c r="B1836" s="2">
        <f>IFERROR(__xludf.DUMMYFUNCTION("""COMPUTED_VALUE"""),42742.807603517474)</f>
        <v>42742.8076</v>
      </c>
      <c r="C1836" s="1" t="str">
        <f>IFERROR(__xludf.DUMMYFUNCTION("""COMPUTED_VALUE"""),"treatment")</f>
        <v>treatment</v>
      </c>
      <c r="D1836" s="1" t="str">
        <f>IFERROR(__xludf.DUMMYFUNCTION("""COMPUTED_VALUE"""),"new_page")</f>
        <v>new_page</v>
      </c>
      <c r="E1836" s="1">
        <f>IFERROR(__xludf.DUMMYFUNCTION("""COMPUTED_VALUE"""),0.0)</f>
        <v>0</v>
      </c>
    </row>
    <row r="1837">
      <c r="A1837" s="1">
        <f>IFERROR(__xludf.DUMMYFUNCTION("""COMPUTED_VALUE"""),639751.0)</f>
        <v>639751</v>
      </c>
      <c r="B1837" s="2">
        <f>IFERROR(__xludf.DUMMYFUNCTION("""COMPUTED_VALUE"""),42747.019497875845)</f>
        <v>42747.0195</v>
      </c>
      <c r="C1837" s="1" t="str">
        <f>IFERROR(__xludf.DUMMYFUNCTION("""COMPUTED_VALUE"""),"control")</f>
        <v>control</v>
      </c>
      <c r="D1837" s="1" t="str">
        <f>IFERROR(__xludf.DUMMYFUNCTION("""COMPUTED_VALUE"""),"old_page")</f>
        <v>old_page</v>
      </c>
      <c r="E1837" s="1">
        <f>IFERROR(__xludf.DUMMYFUNCTION("""COMPUTED_VALUE"""),0.0)</f>
        <v>0</v>
      </c>
    </row>
    <row r="1838">
      <c r="A1838" s="1">
        <f>IFERROR(__xludf.DUMMYFUNCTION("""COMPUTED_VALUE"""),792397.0)</f>
        <v>792397</v>
      </c>
      <c r="B1838" s="2">
        <f>IFERROR(__xludf.DUMMYFUNCTION("""COMPUTED_VALUE"""),42753.43202169032)</f>
        <v>42753.43202</v>
      </c>
      <c r="C1838" s="1" t="str">
        <f>IFERROR(__xludf.DUMMYFUNCTION("""COMPUTED_VALUE"""),"treatment")</f>
        <v>treatment</v>
      </c>
      <c r="D1838" s="1" t="str">
        <f>IFERROR(__xludf.DUMMYFUNCTION("""COMPUTED_VALUE"""),"new_page")</f>
        <v>new_page</v>
      </c>
      <c r="E1838" s="1">
        <f>IFERROR(__xludf.DUMMYFUNCTION("""COMPUTED_VALUE"""),0.0)</f>
        <v>0</v>
      </c>
    </row>
    <row r="1839">
      <c r="A1839" s="1">
        <f>IFERROR(__xludf.DUMMYFUNCTION("""COMPUTED_VALUE"""),698527.0)</f>
        <v>698527</v>
      </c>
      <c r="B1839" s="2">
        <f>IFERROR(__xludf.DUMMYFUNCTION("""COMPUTED_VALUE"""),42748.176757895126)</f>
        <v>42748.17676</v>
      </c>
      <c r="C1839" s="1" t="str">
        <f>IFERROR(__xludf.DUMMYFUNCTION("""COMPUTED_VALUE"""),"treatment")</f>
        <v>treatment</v>
      </c>
      <c r="D1839" s="1" t="str">
        <f>IFERROR(__xludf.DUMMYFUNCTION("""COMPUTED_VALUE"""),"new_page")</f>
        <v>new_page</v>
      </c>
      <c r="E1839" s="1">
        <f>IFERROR(__xludf.DUMMYFUNCTION("""COMPUTED_VALUE"""),0.0)</f>
        <v>0</v>
      </c>
    </row>
    <row r="1840">
      <c r="A1840" s="1">
        <f>IFERROR(__xludf.DUMMYFUNCTION("""COMPUTED_VALUE"""),631586.0)</f>
        <v>631586</v>
      </c>
      <c r="B1840" s="2">
        <f>IFERROR(__xludf.DUMMYFUNCTION("""COMPUTED_VALUE"""),42741.67297441275)</f>
        <v>42741.67297</v>
      </c>
      <c r="C1840" s="1" t="str">
        <f>IFERROR(__xludf.DUMMYFUNCTION("""COMPUTED_VALUE"""),"treatment")</f>
        <v>treatment</v>
      </c>
      <c r="D1840" s="1" t="str">
        <f>IFERROR(__xludf.DUMMYFUNCTION("""COMPUTED_VALUE"""),"new_page")</f>
        <v>new_page</v>
      </c>
      <c r="E1840" s="1">
        <f>IFERROR(__xludf.DUMMYFUNCTION("""COMPUTED_VALUE"""),0.0)</f>
        <v>0</v>
      </c>
    </row>
    <row r="1841">
      <c r="A1841" s="1">
        <f>IFERROR(__xludf.DUMMYFUNCTION("""COMPUTED_VALUE"""),886348.0)</f>
        <v>886348</v>
      </c>
      <c r="B1841" s="2">
        <f>IFERROR(__xludf.DUMMYFUNCTION("""COMPUTED_VALUE"""),42738.23798769937)</f>
        <v>42738.23799</v>
      </c>
      <c r="C1841" s="1" t="str">
        <f>IFERROR(__xludf.DUMMYFUNCTION("""COMPUTED_VALUE"""),"treatment")</f>
        <v>treatment</v>
      </c>
      <c r="D1841" s="1" t="str">
        <f>IFERROR(__xludf.DUMMYFUNCTION("""COMPUTED_VALUE"""),"new_page")</f>
        <v>new_page</v>
      </c>
      <c r="E1841" s="1">
        <f>IFERROR(__xludf.DUMMYFUNCTION("""COMPUTED_VALUE"""),0.0)</f>
        <v>0</v>
      </c>
    </row>
    <row r="1842">
      <c r="A1842" s="1">
        <f>IFERROR(__xludf.DUMMYFUNCTION("""COMPUTED_VALUE"""),916990.0)</f>
        <v>916990</v>
      </c>
      <c r="B1842" s="2">
        <f>IFERROR(__xludf.DUMMYFUNCTION("""COMPUTED_VALUE"""),42742.64465233187)</f>
        <v>42742.64465</v>
      </c>
      <c r="C1842" s="1" t="str">
        <f>IFERROR(__xludf.DUMMYFUNCTION("""COMPUTED_VALUE"""),"control")</f>
        <v>control</v>
      </c>
      <c r="D1842" s="1" t="str">
        <f>IFERROR(__xludf.DUMMYFUNCTION("""COMPUTED_VALUE"""),"old_page")</f>
        <v>old_page</v>
      </c>
      <c r="E1842" s="1">
        <f>IFERROR(__xludf.DUMMYFUNCTION("""COMPUTED_VALUE"""),0.0)</f>
        <v>0</v>
      </c>
    </row>
    <row r="1843">
      <c r="A1843" s="1">
        <f>IFERROR(__xludf.DUMMYFUNCTION("""COMPUTED_VALUE"""),693567.0)</f>
        <v>693567</v>
      </c>
      <c r="B1843" s="2">
        <f>IFERROR(__xludf.DUMMYFUNCTION("""COMPUTED_VALUE"""),42755.42902466364)</f>
        <v>42755.42902</v>
      </c>
      <c r="C1843" s="1" t="str">
        <f>IFERROR(__xludf.DUMMYFUNCTION("""COMPUTED_VALUE"""),"treatment")</f>
        <v>treatment</v>
      </c>
      <c r="D1843" s="1" t="str">
        <f>IFERROR(__xludf.DUMMYFUNCTION("""COMPUTED_VALUE"""),"new_page")</f>
        <v>new_page</v>
      </c>
      <c r="E1843" s="1">
        <f>IFERROR(__xludf.DUMMYFUNCTION("""COMPUTED_VALUE"""),0.0)</f>
        <v>0</v>
      </c>
    </row>
    <row r="1844">
      <c r="A1844" s="1">
        <f>IFERROR(__xludf.DUMMYFUNCTION("""COMPUTED_VALUE"""),664494.0)</f>
        <v>664494</v>
      </c>
      <c r="B1844" s="2">
        <f>IFERROR(__xludf.DUMMYFUNCTION("""COMPUTED_VALUE"""),42740.131799453404)</f>
        <v>42740.1318</v>
      </c>
      <c r="C1844" s="1" t="str">
        <f>IFERROR(__xludf.DUMMYFUNCTION("""COMPUTED_VALUE"""),"treatment")</f>
        <v>treatment</v>
      </c>
      <c r="D1844" s="1" t="str">
        <f>IFERROR(__xludf.DUMMYFUNCTION("""COMPUTED_VALUE"""),"new_page")</f>
        <v>new_page</v>
      </c>
      <c r="E1844" s="1">
        <f>IFERROR(__xludf.DUMMYFUNCTION("""COMPUTED_VALUE"""),0.0)</f>
        <v>0</v>
      </c>
    </row>
    <row r="1845">
      <c r="A1845" s="1">
        <f>IFERROR(__xludf.DUMMYFUNCTION("""COMPUTED_VALUE"""),755194.0)</f>
        <v>755194</v>
      </c>
      <c r="B1845" s="2">
        <f>IFERROR(__xludf.DUMMYFUNCTION("""COMPUTED_VALUE"""),42746.31520237694)</f>
        <v>42746.3152</v>
      </c>
      <c r="C1845" s="1" t="str">
        <f>IFERROR(__xludf.DUMMYFUNCTION("""COMPUTED_VALUE"""),"control")</f>
        <v>control</v>
      </c>
      <c r="D1845" s="1" t="str">
        <f>IFERROR(__xludf.DUMMYFUNCTION("""COMPUTED_VALUE"""),"old_page")</f>
        <v>old_page</v>
      </c>
      <c r="E1845" s="1">
        <f>IFERROR(__xludf.DUMMYFUNCTION("""COMPUTED_VALUE"""),0.0)</f>
        <v>0</v>
      </c>
    </row>
    <row r="1846">
      <c r="A1846" s="1">
        <f>IFERROR(__xludf.DUMMYFUNCTION("""COMPUTED_VALUE"""),936712.0)</f>
        <v>936712</v>
      </c>
      <c r="B1846" s="2">
        <f>IFERROR(__xludf.DUMMYFUNCTION("""COMPUTED_VALUE"""),42745.35990120405)</f>
        <v>42745.3599</v>
      </c>
      <c r="C1846" s="1" t="str">
        <f>IFERROR(__xludf.DUMMYFUNCTION("""COMPUTED_VALUE"""),"treatment")</f>
        <v>treatment</v>
      </c>
      <c r="D1846" s="1" t="str">
        <f>IFERROR(__xludf.DUMMYFUNCTION("""COMPUTED_VALUE"""),"new_page")</f>
        <v>new_page</v>
      </c>
      <c r="E1846" s="1">
        <f>IFERROR(__xludf.DUMMYFUNCTION("""COMPUTED_VALUE"""),0.0)</f>
        <v>0</v>
      </c>
    </row>
    <row r="1847">
      <c r="A1847" s="1">
        <f>IFERROR(__xludf.DUMMYFUNCTION("""COMPUTED_VALUE"""),729650.0)</f>
        <v>729650</v>
      </c>
      <c r="B1847" s="2">
        <f>IFERROR(__xludf.DUMMYFUNCTION("""COMPUTED_VALUE"""),42748.245793933485)</f>
        <v>42748.24579</v>
      </c>
      <c r="C1847" s="1" t="str">
        <f>IFERROR(__xludf.DUMMYFUNCTION("""COMPUTED_VALUE"""),"control")</f>
        <v>control</v>
      </c>
      <c r="D1847" s="1" t="str">
        <f>IFERROR(__xludf.DUMMYFUNCTION("""COMPUTED_VALUE"""),"old_page")</f>
        <v>old_page</v>
      </c>
      <c r="E1847" s="1">
        <f>IFERROR(__xludf.DUMMYFUNCTION("""COMPUTED_VALUE"""),0.0)</f>
        <v>0</v>
      </c>
    </row>
    <row r="1848">
      <c r="A1848" s="1">
        <f>IFERROR(__xludf.DUMMYFUNCTION("""COMPUTED_VALUE"""),719236.0)</f>
        <v>719236</v>
      </c>
      <c r="B1848" s="2">
        <f>IFERROR(__xludf.DUMMYFUNCTION("""COMPUTED_VALUE"""),42758.12919582094)</f>
        <v>42758.1292</v>
      </c>
      <c r="C1848" s="1" t="str">
        <f>IFERROR(__xludf.DUMMYFUNCTION("""COMPUTED_VALUE"""),"control")</f>
        <v>control</v>
      </c>
      <c r="D1848" s="1" t="str">
        <f>IFERROR(__xludf.DUMMYFUNCTION("""COMPUTED_VALUE"""),"old_page")</f>
        <v>old_page</v>
      </c>
      <c r="E1848" s="1">
        <f>IFERROR(__xludf.DUMMYFUNCTION("""COMPUTED_VALUE"""),0.0)</f>
        <v>0</v>
      </c>
    </row>
    <row r="1849">
      <c r="A1849" s="1">
        <f>IFERROR(__xludf.DUMMYFUNCTION("""COMPUTED_VALUE"""),699424.0)</f>
        <v>699424</v>
      </c>
      <c r="B1849" s="2">
        <f>IFERROR(__xludf.DUMMYFUNCTION("""COMPUTED_VALUE"""),42747.57148151182)</f>
        <v>42747.57148</v>
      </c>
      <c r="C1849" s="1" t="str">
        <f>IFERROR(__xludf.DUMMYFUNCTION("""COMPUTED_VALUE"""),"control")</f>
        <v>control</v>
      </c>
      <c r="D1849" s="1" t="str">
        <f>IFERROR(__xludf.DUMMYFUNCTION("""COMPUTED_VALUE"""),"old_page")</f>
        <v>old_page</v>
      </c>
      <c r="E1849" s="1">
        <f>IFERROR(__xludf.DUMMYFUNCTION("""COMPUTED_VALUE"""),0.0)</f>
        <v>0</v>
      </c>
    </row>
    <row r="1850">
      <c r="A1850" s="1">
        <f>IFERROR(__xludf.DUMMYFUNCTION("""COMPUTED_VALUE"""),778079.0)</f>
        <v>778079</v>
      </c>
      <c r="B1850" s="2">
        <f>IFERROR(__xludf.DUMMYFUNCTION("""COMPUTED_VALUE"""),42749.16122334482)</f>
        <v>42749.16122</v>
      </c>
      <c r="C1850" s="1" t="str">
        <f>IFERROR(__xludf.DUMMYFUNCTION("""COMPUTED_VALUE"""),"control")</f>
        <v>control</v>
      </c>
      <c r="D1850" s="1" t="str">
        <f>IFERROR(__xludf.DUMMYFUNCTION("""COMPUTED_VALUE"""),"old_page")</f>
        <v>old_page</v>
      </c>
      <c r="E1850" s="1">
        <f>IFERROR(__xludf.DUMMYFUNCTION("""COMPUTED_VALUE"""),0.0)</f>
        <v>0</v>
      </c>
    </row>
    <row r="1851">
      <c r="A1851" s="1">
        <f>IFERROR(__xludf.DUMMYFUNCTION("""COMPUTED_VALUE"""),673175.0)</f>
        <v>673175</v>
      </c>
      <c r="B1851" s="2">
        <f>IFERROR(__xludf.DUMMYFUNCTION("""COMPUTED_VALUE"""),42742.38122652984)</f>
        <v>42742.38123</v>
      </c>
      <c r="C1851" s="1" t="str">
        <f>IFERROR(__xludf.DUMMYFUNCTION("""COMPUTED_VALUE"""),"control")</f>
        <v>control</v>
      </c>
      <c r="D1851" s="1" t="str">
        <f>IFERROR(__xludf.DUMMYFUNCTION("""COMPUTED_VALUE"""),"old_page")</f>
        <v>old_page</v>
      </c>
      <c r="E1851" s="1">
        <f>IFERROR(__xludf.DUMMYFUNCTION("""COMPUTED_VALUE"""),0.0)</f>
        <v>0</v>
      </c>
    </row>
    <row r="1852">
      <c r="A1852" s="1">
        <f>IFERROR(__xludf.DUMMYFUNCTION("""COMPUTED_VALUE"""),841824.0)</f>
        <v>841824</v>
      </c>
      <c r="B1852" s="2">
        <f>IFERROR(__xludf.DUMMYFUNCTION("""COMPUTED_VALUE"""),42745.359622238924)</f>
        <v>42745.35962</v>
      </c>
      <c r="C1852" s="1" t="str">
        <f>IFERROR(__xludf.DUMMYFUNCTION("""COMPUTED_VALUE"""),"treatment")</f>
        <v>treatment</v>
      </c>
      <c r="D1852" s="1" t="str">
        <f>IFERROR(__xludf.DUMMYFUNCTION("""COMPUTED_VALUE"""),"new_page")</f>
        <v>new_page</v>
      </c>
      <c r="E1852" s="1">
        <f>IFERROR(__xludf.DUMMYFUNCTION("""COMPUTED_VALUE"""),0.0)</f>
        <v>0</v>
      </c>
    </row>
    <row r="1853">
      <c r="A1853" s="1">
        <f>IFERROR(__xludf.DUMMYFUNCTION("""COMPUTED_VALUE"""),649626.0)</f>
        <v>649626</v>
      </c>
      <c r="B1853" s="2">
        <f>IFERROR(__xludf.DUMMYFUNCTION("""COMPUTED_VALUE"""),42744.585682930796)</f>
        <v>42744.58568</v>
      </c>
      <c r="C1853" s="1" t="str">
        <f>IFERROR(__xludf.DUMMYFUNCTION("""COMPUTED_VALUE"""),"treatment")</f>
        <v>treatment</v>
      </c>
      <c r="D1853" s="1" t="str">
        <f>IFERROR(__xludf.DUMMYFUNCTION("""COMPUTED_VALUE"""),"new_page")</f>
        <v>new_page</v>
      </c>
      <c r="E1853" s="1">
        <f>IFERROR(__xludf.DUMMYFUNCTION("""COMPUTED_VALUE"""),0.0)</f>
        <v>0</v>
      </c>
    </row>
    <row r="1854">
      <c r="A1854" s="1">
        <f>IFERROR(__xludf.DUMMYFUNCTION("""COMPUTED_VALUE"""),941837.0)</f>
        <v>941837</v>
      </c>
      <c r="B1854" s="2">
        <f>IFERROR(__xludf.DUMMYFUNCTION("""COMPUTED_VALUE"""),42740.42947404259)</f>
        <v>42740.42947</v>
      </c>
      <c r="C1854" s="1" t="str">
        <f>IFERROR(__xludf.DUMMYFUNCTION("""COMPUTED_VALUE"""),"treatment")</f>
        <v>treatment</v>
      </c>
      <c r="D1854" s="1" t="str">
        <f>IFERROR(__xludf.DUMMYFUNCTION("""COMPUTED_VALUE"""),"new_page")</f>
        <v>new_page</v>
      </c>
      <c r="E1854" s="1">
        <f>IFERROR(__xludf.DUMMYFUNCTION("""COMPUTED_VALUE"""),0.0)</f>
        <v>0</v>
      </c>
    </row>
    <row r="1855">
      <c r="A1855" s="1">
        <f>IFERROR(__xludf.DUMMYFUNCTION("""COMPUTED_VALUE"""),788590.0)</f>
        <v>788590</v>
      </c>
      <c r="B1855" s="2">
        <f>IFERROR(__xludf.DUMMYFUNCTION("""COMPUTED_VALUE"""),42759.46961060289)</f>
        <v>42759.46961</v>
      </c>
      <c r="C1855" s="1" t="str">
        <f>IFERROR(__xludf.DUMMYFUNCTION("""COMPUTED_VALUE"""),"treatment")</f>
        <v>treatment</v>
      </c>
      <c r="D1855" s="1" t="str">
        <f>IFERROR(__xludf.DUMMYFUNCTION("""COMPUTED_VALUE"""),"new_page")</f>
        <v>new_page</v>
      </c>
      <c r="E1855" s="1">
        <f>IFERROR(__xludf.DUMMYFUNCTION("""COMPUTED_VALUE"""),0.0)</f>
        <v>0</v>
      </c>
    </row>
    <row r="1856">
      <c r="A1856" s="1">
        <f>IFERROR(__xludf.DUMMYFUNCTION("""COMPUTED_VALUE"""),792179.0)</f>
        <v>792179</v>
      </c>
      <c r="B1856" s="2">
        <f>IFERROR(__xludf.DUMMYFUNCTION("""COMPUTED_VALUE"""),42738.990877234224)</f>
        <v>42738.99088</v>
      </c>
      <c r="C1856" s="1" t="str">
        <f>IFERROR(__xludf.DUMMYFUNCTION("""COMPUTED_VALUE"""),"treatment")</f>
        <v>treatment</v>
      </c>
      <c r="D1856" s="1" t="str">
        <f>IFERROR(__xludf.DUMMYFUNCTION("""COMPUTED_VALUE"""),"new_page")</f>
        <v>new_page</v>
      </c>
      <c r="E1856" s="1">
        <f>IFERROR(__xludf.DUMMYFUNCTION("""COMPUTED_VALUE"""),0.0)</f>
        <v>0</v>
      </c>
    </row>
    <row r="1857">
      <c r="A1857" s="1">
        <f>IFERROR(__xludf.DUMMYFUNCTION("""COMPUTED_VALUE"""),658571.0)</f>
        <v>658571</v>
      </c>
      <c r="B1857" s="2">
        <f>IFERROR(__xludf.DUMMYFUNCTION("""COMPUTED_VALUE"""),42757.05374789251)</f>
        <v>42757.05375</v>
      </c>
      <c r="C1857" s="1" t="str">
        <f>IFERROR(__xludf.DUMMYFUNCTION("""COMPUTED_VALUE"""),"treatment")</f>
        <v>treatment</v>
      </c>
      <c r="D1857" s="1" t="str">
        <f>IFERROR(__xludf.DUMMYFUNCTION("""COMPUTED_VALUE"""),"new_page")</f>
        <v>new_page</v>
      </c>
      <c r="E1857" s="1">
        <f>IFERROR(__xludf.DUMMYFUNCTION("""COMPUTED_VALUE"""),0.0)</f>
        <v>0</v>
      </c>
    </row>
    <row r="1858">
      <c r="A1858" s="1">
        <f>IFERROR(__xludf.DUMMYFUNCTION("""COMPUTED_VALUE"""),906771.0)</f>
        <v>906771</v>
      </c>
      <c r="B1858" s="2">
        <f>IFERROR(__xludf.DUMMYFUNCTION("""COMPUTED_VALUE"""),42743.84862328709)</f>
        <v>42743.84862</v>
      </c>
      <c r="C1858" s="1" t="str">
        <f>IFERROR(__xludf.DUMMYFUNCTION("""COMPUTED_VALUE"""),"treatment")</f>
        <v>treatment</v>
      </c>
      <c r="D1858" s="1" t="str">
        <f>IFERROR(__xludf.DUMMYFUNCTION("""COMPUTED_VALUE"""),"new_page")</f>
        <v>new_page</v>
      </c>
      <c r="E1858" s="1">
        <f>IFERROR(__xludf.DUMMYFUNCTION("""COMPUTED_VALUE"""),0.0)</f>
        <v>0</v>
      </c>
    </row>
    <row r="1859">
      <c r="A1859" s="1">
        <f>IFERROR(__xludf.DUMMYFUNCTION("""COMPUTED_VALUE"""),799358.0)</f>
        <v>799358</v>
      </c>
      <c r="B1859" s="2">
        <f>IFERROR(__xludf.DUMMYFUNCTION("""COMPUTED_VALUE"""),42745.30040423353)</f>
        <v>42745.3004</v>
      </c>
      <c r="C1859" s="1" t="str">
        <f>IFERROR(__xludf.DUMMYFUNCTION("""COMPUTED_VALUE"""),"control")</f>
        <v>control</v>
      </c>
      <c r="D1859" s="1" t="str">
        <f>IFERROR(__xludf.DUMMYFUNCTION("""COMPUTED_VALUE"""),"old_page")</f>
        <v>old_page</v>
      </c>
      <c r="E1859" s="1">
        <f>IFERROR(__xludf.DUMMYFUNCTION("""COMPUTED_VALUE"""),0.0)</f>
        <v>0</v>
      </c>
    </row>
    <row r="1860">
      <c r="A1860" s="1">
        <f>IFERROR(__xludf.DUMMYFUNCTION("""COMPUTED_VALUE"""),756946.0)</f>
        <v>756946</v>
      </c>
      <c r="B1860" s="2">
        <f>IFERROR(__xludf.DUMMYFUNCTION("""COMPUTED_VALUE"""),42740.0837878579)</f>
        <v>42740.08379</v>
      </c>
      <c r="C1860" s="1" t="str">
        <f>IFERROR(__xludf.DUMMYFUNCTION("""COMPUTED_VALUE"""),"control")</f>
        <v>control</v>
      </c>
      <c r="D1860" s="1" t="str">
        <f>IFERROR(__xludf.DUMMYFUNCTION("""COMPUTED_VALUE"""),"old_page")</f>
        <v>old_page</v>
      </c>
      <c r="E1860" s="1">
        <f>IFERROR(__xludf.DUMMYFUNCTION("""COMPUTED_VALUE"""),0.0)</f>
        <v>0</v>
      </c>
    </row>
    <row r="1861">
      <c r="A1861" s="1">
        <f>IFERROR(__xludf.DUMMYFUNCTION("""COMPUTED_VALUE"""),818786.0)</f>
        <v>818786</v>
      </c>
      <c r="B1861" s="2">
        <f>IFERROR(__xludf.DUMMYFUNCTION("""COMPUTED_VALUE"""),42738.32934864256)</f>
        <v>42738.32935</v>
      </c>
      <c r="C1861" s="1" t="str">
        <f>IFERROR(__xludf.DUMMYFUNCTION("""COMPUTED_VALUE"""),"treatment")</f>
        <v>treatment</v>
      </c>
      <c r="D1861" s="1" t="str">
        <f>IFERROR(__xludf.DUMMYFUNCTION("""COMPUTED_VALUE"""),"new_page")</f>
        <v>new_page</v>
      </c>
      <c r="E1861" s="1">
        <f>IFERROR(__xludf.DUMMYFUNCTION("""COMPUTED_VALUE"""),0.0)</f>
        <v>0</v>
      </c>
    </row>
    <row r="1862">
      <c r="A1862" s="1">
        <f>IFERROR(__xludf.DUMMYFUNCTION("""COMPUTED_VALUE"""),713474.0)</f>
        <v>713474</v>
      </c>
      <c r="B1862" s="2">
        <f>IFERROR(__xludf.DUMMYFUNCTION("""COMPUTED_VALUE"""),42739.4859411174)</f>
        <v>42739.48594</v>
      </c>
      <c r="C1862" s="1" t="str">
        <f>IFERROR(__xludf.DUMMYFUNCTION("""COMPUTED_VALUE"""),"treatment")</f>
        <v>treatment</v>
      </c>
      <c r="D1862" s="1" t="str">
        <f>IFERROR(__xludf.DUMMYFUNCTION("""COMPUTED_VALUE"""),"new_page")</f>
        <v>new_page</v>
      </c>
      <c r="E1862" s="1">
        <f>IFERROR(__xludf.DUMMYFUNCTION("""COMPUTED_VALUE"""),0.0)</f>
        <v>0</v>
      </c>
    </row>
    <row r="1863">
      <c r="A1863" s="1">
        <f>IFERROR(__xludf.DUMMYFUNCTION("""COMPUTED_VALUE"""),642034.0)</f>
        <v>642034</v>
      </c>
      <c r="B1863" s="2">
        <f>IFERROR(__xludf.DUMMYFUNCTION("""COMPUTED_VALUE"""),42748.39943223464)</f>
        <v>42748.39943</v>
      </c>
      <c r="C1863" s="1" t="str">
        <f>IFERROR(__xludf.DUMMYFUNCTION("""COMPUTED_VALUE"""),"control")</f>
        <v>control</v>
      </c>
      <c r="D1863" s="1" t="str">
        <f>IFERROR(__xludf.DUMMYFUNCTION("""COMPUTED_VALUE"""),"old_page")</f>
        <v>old_page</v>
      </c>
      <c r="E1863" s="1">
        <f>IFERROR(__xludf.DUMMYFUNCTION("""COMPUTED_VALUE"""),0.0)</f>
        <v>0</v>
      </c>
    </row>
    <row r="1864">
      <c r="A1864" s="1">
        <f>IFERROR(__xludf.DUMMYFUNCTION("""COMPUTED_VALUE"""),748723.0)</f>
        <v>748723</v>
      </c>
      <c r="B1864" s="2">
        <f>IFERROR(__xludf.DUMMYFUNCTION("""COMPUTED_VALUE"""),42749.80200127793)</f>
        <v>42749.802</v>
      </c>
      <c r="C1864" s="1" t="str">
        <f>IFERROR(__xludf.DUMMYFUNCTION("""COMPUTED_VALUE"""),"treatment")</f>
        <v>treatment</v>
      </c>
      <c r="D1864" s="1" t="str">
        <f>IFERROR(__xludf.DUMMYFUNCTION("""COMPUTED_VALUE"""),"new_page")</f>
        <v>new_page</v>
      </c>
      <c r="E1864" s="1">
        <f>IFERROR(__xludf.DUMMYFUNCTION("""COMPUTED_VALUE"""),0.0)</f>
        <v>0</v>
      </c>
    </row>
    <row r="1865">
      <c r="A1865" s="1">
        <f>IFERROR(__xludf.DUMMYFUNCTION("""COMPUTED_VALUE"""),669174.0)</f>
        <v>669174</v>
      </c>
      <c r="B1865" s="2">
        <f>IFERROR(__xludf.DUMMYFUNCTION("""COMPUTED_VALUE"""),42738.742286093395)</f>
        <v>42738.74229</v>
      </c>
      <c r="C1865" s="1" t="str">
        <f>IFERROR(__xludf.DUMMYFUNCTION("""COMPUTED_VALUE"""),"control")</f>
        <v>control</v>
      </c>
      <c r="D1865" s="1" t="str">
        <f>IFERROR(__xludf.DUMMYFUNCTION("""COMPUTED_VALUE"""),"old_page")</f>
        <v>old_page</v>
      </c>
      <c r="E1865" s="1">
        <f>IFERROR(__xludf.DUMMYFUNCTION("""COMPUTED_VALUE"""),0.0)</f>
        <v>0</v>
      </c>
    </row>
    <row r="1866">
      <c r="A1866" s="1">
        <f>IFERROR(__xludf.DUMMYFUNCTION("""COMPUTED_VALUE"""),865166.0)</f>
        <v>865166</v>
      </c>
      <c r="B1866" s="2">
        <f>IFERROR(__xludf.DUMMYFUNCTION("""COMPUTED_VALUE"""),42754.15005852664)</f>
        <v>42754.15006</v>
      </c>
      <c r="C1866" s="1" t="str">
        <f>IFERROR(__xludf.DUMMYFUNCTION("""COMPUTED_VALUE"""),"control")</f>
        <v>control</v>
      </c>
      <c r="D1866" s="1" t="str">
        <f>IFERROR(__xludf.DUMMYFUNCTION("""COMPUTED_VALUE"""),"old_page")</f>
        <v>old_page</v>
      </c>
      <c r="E1866" s="1">
        <f>IFERROR(__xludf.DUMMYFUNCTION("""COMPUTED_VALUE"""),0.0)</f>
        <v>0</v>
      </c>
    </row>
    <row r="1867">
      <c r="A1867" s="1">
        <f>IFERROR(__xludf.DUMMYFUNCTION("""COMPUTED_VALUE"""),661187.0)</f>
        <v>661187</v>
      </c>
      <c r="B1867" s="2">
        <f>IFERROR(__xludf.DUMMYFUNCTION("""COMPUTED_VALUE"""),42758.30702592976)</f>
        <v>42758.30703</v>
      </c>
      <c r="C1867" s="1" t="str">
        <f>IFERROR(__xludf.DUMMYFUNCTION("""COMPUTED_VALUE"""),"treatment")</f>
        <v>treatment</v>
      </c>
      <c r="D1867" s="1" t="str">
        <f>IFERROR(__xludf.DUMMYFUNCTION("""COMPUTED_VALUE"""),"new_page")</f>
        <v>new_page</v>
      </c>
      <c r="E1867" s="1">
        <f>IFERROR(__xludf.DUMMYFUNCTION("""COMPUTED_VALUE"""),0.0)</f>
        <v>0</v>
      </c>
    </row>
    <row r="1868">
      <c r="A1868" s="1">
        <f>IFERROR(__xludf.DUMMYFUNCTION("""COMPUTED_VALUE"""),660253.0)</f>
        <v>660253</v>
      </c>
      <c r="B1868" s="2">
        <f>IFERROR(__xludf.DUMMYFUNCTION("""COMPUTED_VALUE"""),42749.55486546346)</f>
        <v>42749.55487</v>
      </c>
      <c r="C1868" s="1" t="str">
        <f>IFERROR(__xludf.DUMMYFUNCTION("""COMPUTED_VALUE"""),"control")</f>
        <v>control</v>
      </c>
      <c r="D1868" s="1" t="str">
        <f>IFERROR(__xludf.DUMMYFUNCTION("""COMPUTED_VALUE"""),"old_page")</f>
        <v>old_page</v>
      </c>
      <c r="E1868" s="1">
        <f>IFERROR(__xludf.DUMMYFUNCTION("""COMPUTED_VALUE"""),1.0)</f>
        <v>1</v>
      </c>
    </row>
    <row r="1869">
      <c r="A1869" s="1">
        <f>IFERROR(__xludf.DUMMYFUNCTION("""COMPUTED_VALUE"""),903448.0)</f>
        <v>903448</v>
      </c>
      <c r="B1869" s="2">
        <f>IFERROR(__xludf.DUMMYFUNCTION("""COMPUTED_VALUE"""),42742.239860725)</f>
        <v>42742.23986</v>
      </c>
      <c r="C1869" s="1" t="str">
        <f>IFERROR(__xludf.DUMMYFUNCTION("""COMPUTED_VALUE"""),"treatment")</f>
        <v>treatment</v>
      </c>
      <c r="D1869" s="1" t="str">
        <f>IFERROR(__xludf.DUMMYFUNCTION("""COMPUTED_VALUE"""),"new_page")</f>
        <v>new_page</v>
      </c>
      <c r="E1869" s="1">
        <f>IFERROR(__xludf.DUMMYFUNCTION("""COMPUTED_VALUE"""),0.0)</f>
        <v>0</v>
      </c>
    </row>
    <row r="1870">
      <c r="A1870" s="1">
        <f>IFERROR(__xludf.DUMMYFUNCTION("""COMPUTED_VALUE"""),909011.0)</f>
        <v>909011</v>
      </c>
      <c r="B1870" s="2">
        <f>IFERROR(__xludf.DUMMYFUNCTION("""COMPUTED_VALUE"""),42739.476215302515)</f>
        <v>42739.47622</v>
      </c>
      <c r="C1870" s="1" t="str">
        <f>IFERROR(__xludf.DUMMYFUNCTION("""COMPUTED_VALUE"""),"control")</f>
        <v>control</v>
      </c>
      <c r="D1870" s="1" t="str">
        <f>IFERROR(__xludf.DUMMYFUNCTION("""COMPUTED_VALUE"""),"old_page")</f>
        <v>old_page</v>
      </c>
      <c r="E1870" s="1">
        <f>IFERROR(__xludf.DUMMYFUNCTION("""COMPUTED_VALUE"""),0.0)</f>
        <v>0</v>
      </c>
    </row>
    <row r="1871">
      <c r="A1871" s="1">
        <f>IFERROR(__xludf.DUMMYFUNCTION("""COMPUTED_VALUE"""),739954.0)</f>
        <v>739954</v>
      </c>
      <c r="B1871" s="2">
        <f>IFERROR(__xludf.DUMMYFUNCTION("""COMPUTED_VALUE"""),42758.513580714054)</f>
        <v>42758.51358</v>
      </c>
      <c r="C1871" s="1" t="str">
        <f>IFERROR(__xludf.DUMMYFUNCTION("""COMPUTED_VALUE"""),"treatment")</f>
        <v>treatment</v>
      </c>
      <c r="D1871" s="1" t="str">
        <f>IFERROR(__xludf.DUMMYFUNCTION("""COMPUTED_VALUE"""),"new_page")</f>
        <v>new_page</v>
      </c>
      <c r="E1871" s="1">
        <f>IFERROR(__xludf.DUMMYFUNCTION("""COMPUTED_VALUE"""),0.0)</f>
        <v>0</v>
      </c>
    </row>
    <row r="1872">
      <c r="A1872" s="1">
        <f>IFERROR(__xludf.DUMMYFUNCTION("""COMPUTED_VALUE"""),700177.0)</f>
        <v>700177</v>
      </c>
      <c r="B1872" s="2">
        <f>IFERROR(__xludf.DUMMYFUNCTION("""COMPUTED_VALUE"""),42755.34725203509)</f>
        <v>42755.34725</v>
      </c>
      <c r="C1872" s="1" t="str">
        <f>IFERROR(__xludf.DUMMYFUNCTION("""COMPUTED_VALUE"""),"control")</f>
        <v>control</v>
      </c>
      <c r="D1872" s="1" t="str">
        <f>IFERROR(__xludf.DUMMYFUNCTION("""COMPUTED_VALUE"""),"old_page")</f>
        <v>old_page</v>
      </c>
      <c r="E1872" s="1">
        <f>IFERROR(__xludf.DUMMYFUNCTION("""COMPUTED_VALUE"""),0.0)</f>
        <v>0</v>
      </c>
    </row>
    <row r="1873">
      <c r="A1873" s="1">
        <f>IFERROR(__xludf.DUMMYFUNCTION("""COMPUTED_VALUE"""),767915.0)</f>
        <v>767915</v>
      </c>
      <c r="B1873" s="2">
        <f>IFERROR(__xludf.DUMMYFUNCTION("""COMPUTED_VALUE"""),42751.356632217874)</f>
        <v>42751.35663</v>
      </c>
      <c r="C1873" s="1" t="str">
        <f>IFERROR(__xludf.DUMMYFUNCTION("""COMPUTED_VALUE"""),"control")</f>
        <v>control</v>
      </c>
      <c r="D1873" s="1" t="str">
        <f>IFERROR(__xludf.DUMMYFUNCTION("""COMPUTED_VALUE"""),"old_page")</f>
        <v>old_page</v>
      </c>
      <c r="E1873" s="1">
        <f>IFERROR(__xludf.DUMMYFUNCTION("""COMPUTED_VALUE"""),0.0)</f>
        <v>0</v>
      </c>
    </row>
    <row r="1874">
      <c r="A1874" s="1">
        <f>IFERROR(__xludf.DUMMYFUNCTION("""COMPUTED_VALUE"""),739990.0)</f>
        <v>739990</v>
      </c>
      <c r="B1874" s="2">
        <f>IFERROR(__xludf.DUMMYFUNCTION("""COMPUTED_VALUE"""),42755.648119311736)</f>
        <v>42755.64812</v>
      </c>
      <c r="C1874" s="1" t="str">
        <f>IFERROR(__xludf.DUMMYFUNCTION("""COMPUTED_VALUE"""),"control")</f>
        <v>control</v>
      </c>
      <c r="D1874" s="1" t="str">
        <f>IFERROR(__xludf.DUMMYFUNCTION("""COMPUTED_VALUE"""),"old_page")</f>
        <v>old_page</v>
      </c>
      <c r="E1874" s="1">
        <f>IFERROR(__xludf.DUMMYFUNCTION("""COMPUTED_VALUE"""),0.0)</f>
        <v>0</v>
      </c>
    </row>
    <row r="1875">
      <c r="A1875" s="1">
        <f>IFERROR(__xludf.DUMMYFUNCTION("""COMPUTED_VALUE"""),843607.0)</f>
        <v>843607</v>
      </c>
      <c r="B1875" s="2">
        <f>IFERROR(__xludf.DUMMYFUNCTION("""COMPUTED_VALUE"""),42750.73240217203)</f>
        <v>42750.7324</v>
      </c>
      <c r="C1875" s="1" t="str">
        <f>IFERROR(__xludf.DUMMYFUNCTION("""COMPUTED_VALUE"""),"control")</f>
        <v>control</v>
      </c>
      <c r="D1875" s="1" t="str">
        <f>IFERROR(__xludf.DUMMYFUNCTION("""COMPUTED_VALUE"""),"old_page")</f>
        <v>old_page</v>
      </c>
      <c r="E1875" s="1">
        <f>IFERROR(__xludf.DUMMYFUNCTION("""COMPUTED_VALUE"""),0.0)</f>
        <v>0</v>
      </c>
    </row>
    <row r="1876">
      <c r="A1876" s="1">
        <f>IFERROR(__xludf.DUMMYFUNCTION("""COMPUTED_VALUE"""),887201.0)</f>
        <v>887201</v>
      </c>
      <c r="B1876" s="2">
        <f>IFERROR(__xludf.DUMMYFUNCTION("""COMPUTED_VALUE"""),42737.90318235295)</f>
        <v>42737.90318</v>
      </c>
      <c r="C1876" s="1" t="str">
        <f>IFERROR(__xludf.DUMMYFUNCTION("""COMPUTED_VALUE"""),"control")</f>
        <v>control</v>
      </c>
      <c r="D1876" s="1" t="str">
        <f>IFERROR(__xludf.DUMMYFUNCTION("""COMPUTED_VALUE"""),"old_page")</f>
        <v>old_page</v>
      </c>
      <c r="E1876" s="1">
        <f>IFERROR(__xludf.DUMMYFUNCTION("""COMPUTED_VALUE"""),0.0)</f>
        <v>0</v>
      </c>
    </row>
    <row r="1877">
      <c r="A1877" s="1">
        <f>IFERROR(__xludf.DUMMYFUNCTION("""COMPUTED_VALUE"""),692278.0)</f>
        <v>692278</v>
      </c>
      <c r="B1877" s="2">
        <f>IFERROR(__xludf.DUMMYFUNCTION("""COMPUTED_VALUE"""),42746.62953060639)</f>
        <v>42746.62953</v>
      </c>
      <c r="C1877" s="1" t="str">
        <f>IFERROR(__xludf.DUMMYFUNCTION("""COMPUTED_VALUE"""),"treatment")</f>
        <v>treatment</v>
      </c>
      <c r="D1877" s="1" t="str">
        <f>IFERROR(__xludf.DUMMYFUNCTION("""COMPUTED_VALUE"""),"new_page")</f>
        <v>new_page</v>
      </c>
      <c r="E1877" s="1">
        <f>IFERROR(__xludf.DUMMYFUNCTION("""COMPUTED_VALUE"""),1.0)</f>
        <v>1</v>
      </c>
    </row>
    <row r="1878">
      <c r="A1878" s="1">
        <f>IFERROR(__xludf.DUMMYFUNCTION("""COMPUTED_VALUE"""),671509.0)</f>
        <v>671509</v>
      </c>
      <c r="B1878" s="2">
        <f>IFERROR(__xludf.DUMMYFUNCTION("""COMPUTED_VALUE"""),42737.66095111442)</f>
        <v>42737.66095</v>
      </c>
      <c r="C1878" s="1" t="str">
        <f>IFERROR(__xludf.DUMMYFUNCTION("""COMPUTED_VALUE"""),"control")</f>
        <v>control</v>
      </c>
      <c r="D1878" s="1" t="str">
        <f>IFERROR(__xludf.DUMMYFUNCTION("""COMPUTED_VALUE"""),"old_page")</f>
        <v>old_page</v>
      </c>
      <c r="E1878" s="1">
        <f>IFERROR(__xludf.DUMMYFUNCTION("""COMPUTED_VALUE"""),0.0)</f>
        <v>0</v>
      </c>
    </row>
    <row r="1879">
      <c r="A1879" s="1">
        <f>IFERROR(__xludf.DUMMYFUNCTION("""COMPUTED_VALUE"""),717682.0)</f>
        <v>717682</v>
      </c>
      <c r="B1879" s="2">
        <f>IFERROR(__xludf.DUMMYFUNCTION("""COMPUTED_VALUE"""),42742.128933933716)</f>
        <v>42742.12893</v>
      </c>
      <c r="C1879" s="1" t="str">
        <f>IFERROR(__xludf.DUMMYFUNCTION("""COMPUTED_VALUE"""),"control")</f>
        <v>control</v>
      </c>
      <c r="D1879" s="1" t="str">
        <f>IFERROR(__xludf.DUMMYFUNCTION("""COMPUTED_VALUE"""),"new_page")</f>
        <v>new_page</v>
      </c>
      <c r="E1879" s="1">
        <f>IFERROR(__xludf.DUMMYFUNCTION("""COMPUTED_VALUE"""),0.0)</f>
        <v>0</v>
      </c>
    </row>
    <row r="1880">
      <c r="A1880" s="1">
        <f>IFERROR(__xludf.DUMMYFUNCTION("""COMPUTED_VALUE"""),898580.0)</f>
        <v>898580</v>
      </c>
      <c r="B1880" s="2">
        <f>IFERROR(__xludf.DUMMYFUNCTION("""COMPUTED_VALUE"""),42758.957622784605)</f>
        <v>42758.95762</v>
      </c>
      <c r="C1880" s="1" t="str">
        <f>IFERROR(__xludf.DUMMYFUNCTION("""COMPUTED_VALUE"""),"control")</f>
        <v>control</v>
      </c>
      <c r="D1880" s="1" t="str">
        <f>IFERROR(__xludf.DUMMYFUNCTION("""COMPUTED_VALUE"""),"old_page")</f>
        <v>old_page</v>
      </c>
      <c r="E1880" s="1">
        <f>IFERROR(__xludf.DUMMYFUNCTION("""COMPUTED_VALUE"""),0.0)</f>
        <v>0</v>
      </c>
    </row>
    <row r="1881">
      <c r="A1881" s="1">
        <f>IFERROR(__xludf.DUMMYFUNCTION("""COMPUTED_VALUE"""),648950.0)</f>
        <v>648950</v>
      </c>
      <c r="B1881" s="2">
        <f>IFERROR(__xludf.DUMMYFUNCTION("""COMPUTED_VALUE"""),42741.777303073024)</f>
        <v>42741.7773</v>
      </c>
      <c r="C1881" s="1" t="str">
        <f>IFERROR(__xludf.DUMMYFUNCTION("""COMPUTED_VALUE"""),"treatment")</f>
        <v>treatment</v>
      </c>
      <c r="D1881" s="1" t="str">
        <f>IFERROR(__xludf.DUMMYFUNCTION("""COMPUTED_VALUE"""),"new_page")</f>
        <v>new_page</v>
      </c>
      <c r="E1881" s="1">
        <f>IFERROR(__xludf.DUMMYFUNCTION("""COMPUTED_VALUE"""),0.0)</f>
        <v>0</v>
      </c>
    </row>
    <row r="1882">
      <c r="A1882" s="1">
        <f>IFERROR(__xludf.DUMMYFUNCTION("""COMPUTED_VALUE"""),817331.0)</f>
        <v>817331</v>
      </c>
      <c r="B1882" s="2">
        <f>IFERROR(__xludf.DUMMYFUNCTION("""COMPUTED_VALUE"""),42754.18501982441)</f>
        <v>42754.18502</v>
      </c>
      <c r="C1882" s="1" t="str">
        <f>IFERROR(__xludf.DUMMYFUNCTION("""COMPUTED_VALUE"""),"control")</f>
        <v>control</v>
      </c>
      <c r="D1882" s="1" t="str">
        <f>IFERROR(__xludf.DUMMYFUNCTION("""COMPUTED_VALUE"""),"old_page")</f>
        <v>old_page</v>
      </c>
      <c r="E1882" s="1">
        <f>IFERROR(__xludf.DUMMYFUNCTION("""COMPUTED_VALUE"""),1.0)</f>
        <v>1</v>
      </c>
    </row>
    <row r="1883">
      <c r="A1883" s="1">
        <f>IFERROR(__xludf.DUMMYFUNCTION("""COMPUTED_VALUE"""),666288.0)</f>
        <v>666288</v>
      </c>
      <c r="B1883" s="2">
        <f>IFERROR(__xludf.DUMMYFUNCTION("""COMPUTED_VALUE"""),42745.89669053132)</f>
        <v>42745.89669</v>
      </c>
      <c r="C1883" s="1" t="str">
        <f>IFERROR(__xludf.DUMMYFUNCTION("""COMPUTED_VALUE"""),"control")</f>
        <v>control</v>
      </c>
      <c r="D1883" s="1" t="str">
        <f>IFERROR(__xludf.DUMMYFUNCTION("""COMPUTED_VALUE"""),"old_page")</f>
        <v>old_page</v>
      </c>
      <c r="E1883" s="1">
        <f>IFERROR(__xludf.DUMMYFUNCTION("""COMPUTED_VALUE"""),0.0)</f>
        <v>0</v>
      </c>
    </row>
    <row r="1884">
      <c r="A1884" s="1">
        <f>IFERROR(__xludf.DUMMYFUNCTION("""COMPUTED_VALUE"""),905859.0)</f>
        <v>905859</v>
      </c>
      <c r="B1884" s="2">
        <f>IFERROR(__xludf.DUMMYFUNCTION("""COMPUTED_VALUE"""),42749.78968697926)</f>
        <v>42749.78969</v>
      </c>
      <c r="C1884" s="1" t="str">
        <f>IFERROR(__xludf.DUMMYFUNCTION("""COMPUTED_VALUE"""),"treatment")</f>
        <v>treatment</v>
      </c>
      <c r="D1884" s="1" t="str">
        <f>IFERROR(__xludf.DUMMYFUNCTION("""COMPUTED_VALUE"""),"new_page")</f>
        <v>new_page</v>
      </c>
      <c r="E1884" s="1">
        <f>IFERROR(__xludf.DUMMYFUNCTION("""COMPUTED_VALUE"""),0.0)</f>
        <v>0</v>
      </c>
    </row>
    <row r="1885">
      <c r="A1885" s="1">
        <f>IFERROR(__xludf.DUMMYFUNCTION("""COMPUTED_VALUE"""),820166.0)</f>
        <v>820166</v>
      </c>
      <c r="B1885" s="2">
        <f>IFERROR(__xludf.DUMMYFUNCTION("""COMPUTED_VALUE"""),42749.56870046301)</f>
        <v>42749.5687</v>
      </c>
      <c r="C1885" s="1" t="str">
        <f>IFERROR(__xludf.DUMMYFUNCTION("""COMPUTED_VALUE"""),"treatment")</f>
        <v>treatment</v>
      </c>
      <c r="D1885" s="1" t="str">
        <f>IFERROR(__xludf.DUMMYFUNCTION("""COMPUTED_VALUE"""),"new_page")</f>
        <v>new_page</v>
      </c>
      <c r="E1885" s="1">
        <f>IFERROR(__xludf.DUMMYFUNCTION("""COMPUTED_VALUE"""),0.0)</f>
        <v>0</v>
      </c>
    </row>
    <row r="1886">
      <c r="A1886" s="1">
        <f>IFERROR(__xludf.DUMMYFUNCTION("""COMPUTED_VALUE"""),680693.0)</f>
        <v>680693</v>
      </c>
      <c r="B1886" s="2">
        <f>IFERROR(__xludf.DUMMYFUNCTION("""COMPUTED_VALUE"""),42758.08076662654)</f>
        <v>42758.08077</v>
      </c>
      <c r="C1886" s="1" t="str">
        <f>IFERROR(__xludf.DUMMYFUNCTION("""COMPUTED_VALUE"""),"control")</f>
        <v>control</v>
      </c>
      <c r="D1886" s="1" t="str">
        <f>IFERROR(__xludf.DUMMYFUNCTION("""COMPUTED_VALUE"""),"old_page")</f>
        <v>old_page</v>
      </c>
      <c r="E1886" s="1">
        <f>IFERROR(__xludf.DUMMYFUNCTION("""COMPUTED_VALUE"""),0.0)</f>
        <v>0</v>
      </c>
    </row>
    <row r="1887">
      <c r="A1887" s="1">
        <f>IFERROR(__xludf.DUMMYFUNCTION("""COMPUTED_VALUE"""),678844.0)</f>
        <v>678844</v>
      </c>
      <c r="B1887" s="2">
        <f>IFERROR(__xludf.DUMMYFUNCTION("""COMPUTED_VALUE"""),42749.207865066346)</f>
        <v>42749.20787</v>
      </c>
      <c r="C1887" s="1" t="str">
        <f>IFERROR(__xludf.DUMMYFUNCTION("""COMPUTED_VALUE"""),"treatment")</f>
        <v>treatment</v>
      </c>
      <c r="D1887" s="1" t="str">
        <f>IFERROR(__xludf.DUMMYFUNCTION("""COMPUTED_VALUE"""),"new_page")</f>
        <v>new_page</v>
      </c>
      <c r="E1887" s="1">
        <f>IFERROR(__xludf.DUMMYFUNCTION("""COMPUTED_VALUE"""),0.0)</f>
        <v>0</v>
      </c>
    </row>
    <row r="1888">
      <c r="A1888" s="1">
        <f>IFERROR(__xludf.DUMMYFUNCTION("""COMPUTED_VALUE"""),773322.0)</f>
        <v>773322</v>
      </c>
      <c r="B1888" s="2">
        <f>IFERROR(__xludf.DUMMYFUNCTION("""COMPUTED_VALUE"""),42757.99866885022)</f>
        <v>42757.99867</v>
      </c>
      <c r="C1888" s="1" t="str">
        <f>IFERROR(__xludf.DUMMYFUNCTION("""COMPUTED_VALUE"""),"treatment")</f>
        <v>treatment</v>
      </c>
      <c r="D1888" s="1" t="str">
        <f>IFERROR(__xludf.DUMMYFUNCTION("""COMPUTED_VALUE"""),"new_page")</f>
        <v>new_page</v>
      </c>
      <c r="E1888" s="1">
        <f>IFERROR(__xludf.DUMMYFUNCTION("""COMPUTED_VALUE"""),1.0)</f>
        <v>1</v>
      </c>
    </row>
    <row r="1889">
      <c r="A1889" s="1">
        <f>IFERROR(__xludf.DUMMYFUNCTION("""COMPUTED_VALUE"""),650788.0)</f>
        <v>650788</v>
      </c>
      <c r="B1889" s="2">
        <f>IFERROR(__xludf.DUMMYFUNCTION("""COMPUTED_VALUE"""),42758.90907382933)</f>
        <v>42758.90907</v>
      </c>
      <c r="C1889" s="1" t="str">
        <f>IFERROR(__xludf.DUMMYFUNCTION("""COMPUTED_VALUE"""),"treatment")</f>
        <v>treatment</v>
      </c>
      <c r="D1889" s="1" t="str">
        <f>IFERROR(__xludf.DUMMYFUNCTION("""COMPUTED_VALUE"""),"new_page")</f>
        <v>new_page</v>
      </c>
      <c r="E1889" s="1">
        <f>IFERROR(__xludf.DUMMYFUNCTION("""COMPUTED_VALUE"""),0.0)</f>
        <v>0</v>
      </c>
    </row>
    <row r="1890">
      <c r="A1890" s="1">
        <f>IFERROR(__xludf.DUMMYFUNCTION("""COMPUTED_VALUE"""),797384.0)</f>
        <v>797384</v>
      </c>
      <c r="B1890" s="2">
        <f>IFERROR(__xludf.DUMMYFUNCTION("""COMPUTED_VALUE"""),42757.15686389924)</f>
        <v>42757.15686</v>
      </c>
      <c r="C1890" s="1" t="str">
        <f>IFERROR(__xludf.DUMMYFUNCTION("""COMPUTED_VALUE"""),"control")</f>
        <v>control</v>
      </c>
      <c r="D1890" s="1" t="str">
        <f>IFERROR(__xludf.DUMMYFUNCTION("""COMPUTED_VALUE"""),"old_page")</f>
        <v>old_page</v>
      </c>
      <c r="E1890" s="1">
        <f>IFERROR(__xludf.DUMMYFUNCTION("""COMPUTED_VALUE"""),0.0)</f>
        <v>0</v>
      </c>
    </row>
    <row r="1891">
      <c r="A1891" s="1">
        <f>IFERROR(__xludf.DUMMYFUNCTION("""COMPUTED_VALUE"""),758250.0)</f>
        <v>758250</v>
      </c>
      <c r="B1891" s="2">
        <f>IFERROR(__xludf.DUMMYFUNCTION("""COMPUTED_VALUE"""),42756.32734226996)</f>
        <v>42756.32734</v>
      </c>
      <c r="C1891" s="1" t="str">
        <f>IFERROR(__xludf.DUMMYFUNCTION("""COMPUTED_VALUE"""),"treatment")</f>
        <v>treatment</v>
      </c>
      <c r="D1891" s="1" t="str">
        <f>IFERROR(__xludf.DUMMYFUNCTION("""COMPUTED_VALUE"""),"new_page")</f>
        <v>new_page</v>
      </c>
      <c r="E1891" s="1">
        <f>IFERROR(__xludf.DUMMYFUNCTION("""COMPUTED_VALUE"""),0.0)</f>
        <v>0</v>
      </c>
    </row>
    <row r="1892">
      <c r="A1892" s="1">
        <f>IFERROR(__xludf.DUMMYFUNCTION("""COMPUTED_VALUE"""),919690.0)</f>
        <v>919690</v>
      </c>
      <c r="B1892" s="2">
        <f>IFERROR(__xludf.DUMMYFUNCTION("""COMPUTED_VALUE"""),42746.95104888028)</f>
        <v>42746.95105</v>
      </c>
      <c r="C1892" s="1" t="str">
        <f>IFERROR(__xludf.DUMMYFUNCTION("""COMPUTED_VALUE"""),"control")</f>
        <v>control</v>
      </c>
      <c r="D1892" s="1" t="str">
        <f>IFERROR(__xludf.DUMMYFUNCTION("""COMPUTED_VALUE"""),"old_page")</f>
        <v>old_page</v>
      </c>
      <c r="E1892" s="1">
        <f>IFERROR(__xludf.DUMMYFUNCTION("""COMPUTED_VALUE"""),0.0)</f>
        <v>0</v>
      </c>
    </row>
    <row r="1893">
      <c r="A1893" s="1">
        <f>IFERROR(__xludf.DUMMYFUNCTION("""COMPUTED_VALUE"""),758053.0)</f>
        <v>758053</v>
      </c>
      <c r="B1893" s="2">
        <f>IFERROR(__xludf.DUMMYFUNCTION("""COMPUTED_VALUE"""),42742.83248375526)</f>
        <v>42742.83248</v>
      </c>
      <c r="C1893" s="1" t="str">
        <f>IFERROR(__xludf.DUMMYFUNCTION("""COMPUTED_VALUE"""),"treatment")</f>
        <v>treatment</v>
      </c>
      <c r="D1893" s="1" t="str">
        <f>IFERROR(__xludf.DUMMYFUNCTION("""COMPUTED_VALUE"""),"new_page")</f>
        <v>new_page</v>
      </c>
      <c r="E1893" s="1">
        <f>IFERROR(__xludf.DUMMYFUNCTION("""COMPUTED_VALUE"""),0.0)</f>
        <v>0</v>
      </c>
    </row>
    <row r="1894">
      <c r="A1894" s="1">
        <f>IFERROR(__xludf.DUMMYFUNCTION("""COMPUTED_VALUE"""),636466.0)</f>
        <v>636466</v>
      </c>
      <c r="B1894" s="2">
        <f>IFERROR(__xludf.DUMMYFUNCTION("""COMPUTED_VALUE"""),42748.99660932638)</f>
        <v>42748.99661</v>
      </c>
      <c r="C1894" s="1" t="str">
        <f>IFERROR(__xludf.DUMMYFUNCTION("""COMPUTED_VALUE"""),"treatment")</f>
        <v>treatment</v>
      </c>
      <c r="D1894" s="1" t="str">
        <f>IFERROR(__xludf.DUMMYFUNCTION("""COMPUTED_VALUE"""),"new_page")</f>
        <v>new_page</v>
      </c>
      <c r="E1894" s="1">
        <f>IFERROR(__xludf.DUMMYFUNCTION("""COMPUTED_VALUE"""),0.0)</f>
        <v>0</v>
      </c>
    </row>
    <row r="1895">
      <c r="A1895" s="1">
        <f>IFERROR(__xludf.DUMMYFUNCTION("""COMPUTED_VALUE"""),683466.0)</f>
        <v>683466</v>
      </c>
      <c r="B1895" s="2">
        <f>IFERROR(__xludf.DUMMYFUNCTION("""COMPUTED_VALUE"""),42743.03904818307)</f>
        <v>42743.03905</v>
      </c>
      <c r="C1895" s="1" t="str">
        <f>IFERROR(__xludf.DUMMYFUNCTION("""COMPUTED_VALUE"""),"control")</f>
        <v>control</v>
      </c>
      <c r="D1895" s="1" t="str">
        <f>IFERROR(__xludf.DUMMYFUNCTION("""COMPUTED_VALUE"""),"old_page")</f>
        <v>old_page</v>
      </c>
      <c r="E1895" s="1">
        <f>IFERROR(__xludf.DUMMYFUNCTION("""COMPUTED_VALUE"""),1.0)</f>
        <v>1</v>
      </c>
    </row>
    <row r="1896">
      <c r="A1896" s="1">
        <f>IFERROR(__xludf.DUMMYFUNCTION("""COMPUTED_VALUE"""),648083.0)</f>
        <v>648083</v>
      </c>
      <c r="B1896" s="2">
        <f>IFERROR(__xludf.DUMMYFUNCTION("""COMPUTED_VALUE"""),42752.24902465259)</f>
        <v>42752.24902</v>
      </c>
      <c r="C1896" s="1" t="str">
        <f>IFERROR(__xludf.DUMMYFUNCTION("""COMPUTED_VALUE"""),"control")</f>
        <v>control</v>
      </c>
      <c r="D1896" s="1" t="str">
        <f>IFERROR(__xludf.DUMMYFUNCTION("""COMPUTED_VALUE"""),"old_page")</f>
        <v>old_page</v>
      </c>
      <c r="E1896" s="1">
        <f>IFERROR(__xludf.DUMMYFUNCTION("""COMPUTED_VALUE"""),0.0)</f>
        <v>0</v>
      </c>
    </row>
    <row r="1897">
      <c r="A1897" s="1">
        <f>IFERROR(__xludf.DUMMYFUNCTION("""COMPUTED_VALUE"""),630338.0)</f>
        <v>630338</v>
      </c>
      <c r="B1897" s="2">
        <f>IFERROR(__xludf.DUMMYFUNCTION("""COMPUTED_VALUE"""),42744.95558644075)</f>
        <v>42744.95559</v>
      </c>
      <c r="C1897" s="1" t="str">
        <f>IFERROR(__xludf.DUMMYFUNCTION("""COMPUTED_VALUE"""),"treatment")</f>
        <v>treatment</v>
      </c>
      <c r="D1897" s="1" t="str">
        <f>IFERROR(__xludf.DUMMYFUNCTION("""COMPUTED_VALUE"""),"new_page")</f>
        <v>new_page</v>
      </c>
      <c r="E1897" s="1">
        <f>IFERROR(__xludf.DUMMYFUNCTION("""COMPUTED_VALUE"""),0.0)</f>
        <v>0</v>
      </c>
    </row>
    <row r="1898">
      <c r="A1898" s="1">
        <f>IFERROR(__xludf.DUMMYFUNCTION("""COMPUTED_VALUE"""),630832.0)</f>
        <v>630832</v>
      </c>
      <c r="B1898" s="2">
        <f>IFERROR(__xludf.DUMMYFUNCTION("""COMPUTED_VALUE"""),42756.86031886103)</f>
        <v>42756.86032</v>
      </c>
      <c r="C1898" s="1" t="str">
        <f>IFERROR(__xludf.DUMMYFUNCTION("""COMPUTED_VALUE"""),"control")</f>
        <v>control</v>
      </c>
      <c r="D1898" s="1" t="str">
        <f>IFERROR(__xludf.DUMMYFUNCTION("""COMPUTED_VALUE"""),"old_page")</f>
        <v>old_page</v>
      </c>
      <c r="E1898" s="1">
        <f>IFERROR(__xludf.DUMMYFUNCTION("""COMPUTED_VALUE"""),0.0)</f>
        <v>0</v>
      </c>
    </row>
    <row r="1899">
      <c r="A1899" s="1">
        <f>IFERROR(__xludf.DUMMYFUNCTION("""COMPUTED_VALUE"""),911418.0)</f>
        <v>911418</v>
      </c>
      <c r="B1899" s="2">
        <f>IFERROR(__xludf.DUMMYFUNCTION("""COMPUTED_VALUE"""),42757.23637402009)</f>
        <v>42757.23637</v>
      </c>
      <c r="C1899" s="1" t="str">
        <f>IFERROR(__xludf.DUMMYFUNCTION("""COMPUTED_VALUE"""),"control")</f>
        <v>control</v>
      </c>
      <c r="D1899" s="1" t="str">
        <f>IFERROR(__xludf.DUMMYFUNCTION("""COMPUTED_VALUE"""),"old_page")</f>
        <v>old_page</v>
      </c>
      <c r="E1899" s="1">
        <f>IFERROR(__xludf.DUMMYFUNCTION("""COMPUTED_VALUE"""),1.0)</f>
        <v>1</v>
      </c>
    </row>
    <row r="1900">
      <c r="A1900" s="1">
        <f>IFERROR(__xludf.DUMMYFUNCTION("""COMPUTED_VALUE"""),771469.0)</f>
        <v>771469</v>
      </c>
      <c r="B1900" s="2">
        <f>IFERROR(__xludf.DUMMYFUNCTION("""COMPUTED_VALUE"""),42738.40475859759)</f>
        <v>42738.40476</v>
      </c>
      <c r="C1900" s="1" t="str">
        <f>IFERROR(__xludf.DUMMYFUNCTION("""COMPUTED_VALUE"""),"control")</f>
        <v>control</v>
      </c>
      <c r="D1900" s="1" t="str">
        <f>IFERROR(__xludf.DUMMYFUNCTION("""COMPUTED_VALUE"""),"old_page")</f>
        <v>old_page</v>
      </c>
      <c r="E1900" s="1">
        <f>IFERROR(__xludf.DUMMYFUNCTION("""COMPUTED_VALUE"""),0.0)</f>
        <v>0</v>
      </c>
    </row>
    <row r="1901">
      <c r="A1901" s="1">
        <f>IFERROR(__xludf.DUMMYFUNCTION("""COMPUTED_VALUE"""),773192.0)</f>
        <v>773192</v>
      </c>
      <c r="B1901" s="2">
        <f>IFERROR(__xludf.DUMMYFUNCTION("""COMPUTED_VALUE"""),42744.234708122756)</f>
        <v>42744.23471</v>
      </c>
      <c r="C1901" s="1" t="str">
        <f>IFERROR(__xludf.DUMMYFUNCTION("""COMPUTED_VALUE"""),"treatment")</f>
        <v>treatment</v>
      </c>
      <c r="D1901" s="1" t="str">
        <f>IFERROR(__xludf.DUMMYFUNCTION("""COMPUTED_VALUE"""),"new_page")</f>
        <v>new_page</v>
      </c>
      <c r="E1901" s="1">
        <f>IFERROR(__xludf.DUMMYFUNCTION("""COMPUTED_VALUE"""),0.0)</f>
        <v>0</v>
      </c>
    </row>
    <row r="1902">
      <c r="A1902" s="1">
        <f>IFERROR(__xludf.DUMMYFUNCTION("""COMPUTED_VALUE"""),904789.0)</f>
        <v>904789</v>
      </c>
      <c r="B1902" s="2">
        <f>IFERROR(__xludf.DUMMYFUNCTION("""COMPUTED_VALUE"""),42740.78896929678)</f>
        <v>42740.78897</v>
      </c>
      <c r="C1902" s="1" t="str">
        <f>IFERROR(__xludf.DUMMYFUNCTION("""COMPUTED_VALUE"""),"treatment")</f>
        <v>treatment</v>
      </c>
      <c r="D1902" s="1" t="str">
        <f>IFERROR(__xludf.DUMMYFUNCTION("""COMPUTED_VALUE"""),"new_page")</f>
        <v>new_page</v>
      </c>
      <c r="E1902" s="1">
        <f>IFERROR(__xludf.DUMMYFUNCTION("""COMPUTED_VALUE"""),0.0)</f>
        <v>0</v>
      </c>
    </row>
    <row r="1903">
      <c r="A1903" s="1">
        <f>IFERROR(__xludf.DUMMYFUNCTION("""COMPUTED_VALUE"""),891777.0)</f>
        <v>891777</v>
      </c>
      <c r="B1903" s="2">
        <f>IFERROR(__xludf.DUMMYFUNCTION("""COMPUTED_VALUE"""),42740.65997408496)</f>
        <v>42740.65997</v>
      </c>
      <c r="C1903" s="1" t="str">
        <f>IFERROR(__xludf.DUMMYFUNCTION("""COMPUTED_VALUE"""),"control")</f>
        <v>control</v>
      </c>
      <c r="D1903" s="1" t="str">
        <f>IFERROR(__xludf.DUMMYFUNCTION("""COMPUTED_VALUE"""),"old_page")</f>
        <v>old_page</v>
      </c>
      <c r="E1903" s="1">
        <f>IFERROR(__xludf.DUMMYFUNCTION("""COMPUTED_VALUE"""),0.0)</f>
        <v>0</v>
      </c>
    </row>
    <row r="1904">
      <c r="A1904" s="1">
        <f>IFERROR(__xludf.DUMMYFUNCTION("""COMPUTED_VALUE"""),919317.0)</f>
        <v>919317</v>
      </c>
      <c r="B1904" s="2">
        <f>IFERROR(__xludf.DUMMYFUNCTION("""COMPUTED_VALUE"""),42757.2545696577)</f>
        <v>42757.25457</v>
      </c>
      <c r="C1904" s="1" t="str">
        <f>IFERROR(__xludf.DUMMYFUNCTION("""COMPUTED_VALUE"""),"treatment")</f>
        <v>treatment</v>
      </c>
      <c r="D1904" s="1" t="str">
        <f>IFERROR(__xludf.DUMMYFUNCTION("""COMPUTED_VALUE"""),"new_page")</f>
        <v>new_page</v>
      </c>
      <c r="E1904" s="1">
        <f>IFERROR(__xludf.DUMMYFUNCTION("""COMPUTED_VALUE"""),0.0)</f>
        <v>0</v>
      </c>
    </row>
    <row r="1905">
      <c r="A1905" s="1">
        <f>IFERROR(__xludf.DUMMYFUNCTION("""COMPUTED_VALUE"""),897468.0)</f>
        <v>897468</v>
      </c>
      <c r="B1905" s="2">
        <f>IFERROR(__xludf.DUMMYFUNCTION("""COMPUTED_VALUE"""),42743.90858204065)</f>
        <v>42743.90858</v>
      </c>
      <c r="C1905" s="1" t="str">
        <f>IFERROR(__xludf.DUMMYFUNCTION("""COMPUTED_VALUE"""),"treatment")</f>
        <v>treatment</v>
      </c>
      <c r="D1905" s="1" t="str">
        <f>IFERROR(__xludf.DUMMYFUNCTION("""COMPUTED_VALUE"""),"new_page")</f>
        <v>new_page</v>
      </c>
      <c r="E1905" s="1">
        <f>IFERROR(__xludf.DUMMYFUNCTION("""COMPUTED_VALUE"""),1.0)</f>
        <v>1</v>
      </c>
    </row>
    <row r="1906">
      <c r="A1906" s="1">
        <f>IFERROR(__xludf.DUMMYFUNCTION("""COMPUTED_VALUE"""),788238.0)</f>
        <v>788238</v>
      </c>
      <c r="B1906" s="2">
        <f>IFERROR(__xludf.DUMMYFUNCTION("""COMPUTED_VALUE"""),42758.41787526722)</f>
        <v>42758.41788</v>
      </c>
      <c r="C1906" s="1" t="str">
        <f>IFERROR(__xludf.DUMMYFUNCTION("""COMPUTED_VALUE"""),"treatment")</f>
        <v>treatment</v>
      </c>
      <c r="D1906" s="1" t="str">
        <f>IFERROR(__xludf.DUMMYFUNCTION("""COMPUTED_VALUE"""),"new_page")</f>
        <v>new_page</v>
      </c>
      <c r="E1906" s="1">
        <f>IFERROR(__xludf.DUMMYFUNCTION("""COMPUTED_VALUE"""),0.0)</f>
        <v>0</v>
      </c>
    </row>
    <row r="1907">
      <c r="A1907" s="1">
        <f>IFERROR(__xludf.DUMMYFUNCTION("""COMPUTED_VALUE"""),630857.0)</f>
        <v>630857</v>
      </c>
      <c r="B1907" s="2">
        <f>IFERROR(__xludf.DUMMYFUNCTION("""COMPUTED_VALUE"""),42753.32592392376)</f>
        <v>42753.32592</v>
      </c>
      <c r="C1907" s="1" t="str">
        <f>IFERROR(__xludf.DUMMYFUNCTION("""COMPUTED_VALUE"""),"treatment")</f>
        <v>treatment</v>
      </c>
      <c r="D1907" s="1" t="str">
        <f>IFERROR(__xludf.DUMMYFUNCTION("""COMPUTED_VALUE"""),"new_page")</f>
        <v>new_page</v>
      </c>
      <c r="E1907" s="1">
        <f>IFERROR(__xludf.DUMMYFUNCTION("""COMPUTED_VALUE"""),0.0)</f>
        <v>0</v>
      </c>
    </row>
    <row r="1908">
      <c r="A1908" s="1">
        <f>IFERROR(__xludf.DUMMYFUNCTION("""COMPUTED_VALUE"""),909187.0)</f>
        <v>909187</v>
      </c>
      <c r="B1908" s="2">
        <f>IFERROR(__xludf.DUMMYFUNCTION("""COMPUTED_VALUE"""),42755.42566191904)</f>
        <v>42755.42566</v>
      </c>
      <c r="C1908" s="1" t="str">
        <f>IFERROR(__xludf.DUMMYFUNCTION("""COMPUTED_VALUE"""),"treatment")</f>
        <v>treatment</v>
      </c>
      <c r="D1908" s="1" t="str">
        <f>IFERROR(__xludf.DUMMYFUNCTION("""COMPUTED_VALUE"""),"new_page")</f>
        <v>new_page</v>
      </c>
      <c r="E1908" s="1">
        <f>IFERROR(__xludf.DUMMYFUNCTION("""COMPUTED_VALUE"""),0.0)</f>
        <v>0</v>
      </c>
    </row>
    <row r="1909">
      <c r="A1909" s="1">
        <f>IFERROR(__xludf.DUMMYFUNCTION("""COMPUTED_VALUE"""),695498.0)</f>
        <v>695498</v>
      </c>
      <c r="B1909" s="2">
        <f>IFERROR(__xludf.DUMMYFUNCTION("""COMPUTED_VALUE"""),42753.323441789245)</f>
        <v>42753.32344</v>
      </c>
      <c r="C1909" s="1" t="str">
        <f>IFERROR(__xludf.DUMMYFUNCTION("""COMPUTED_VALUE"""),"treatment")</f>
        <v>treatment</v>
      </c>
      <c r="D1909" s="1" t="str">
        <f>IFERROR(__xludf.DUMMYFUNCTION("""COMPUTED_VALUE"""),"new_page")</f>
        <v>new_page</v>
      </c>
      <c r="E1909" s="1">
        <f>IFERROR(__xludf.DUMMYFUNCTION("""COMPUTED_VALUE"""),0.0)</f>
        <v>0</v>
      </c>
    </row>
    <row r="1910">
      <c r="A1910" s="1">
        <f>IFERROR(__xludf.DUMMYFUNCTION("""COMPUTED_VALUE"""),651307.0)</f>
        <v>651307</v>
      </c>
      <c r="B1910" s="2">
        <f>IFERROR(__xludf.DUMMYFUNCTION("""COMPUTED_VALUE"""),42745.46420329065)</f>
        <v>42745.4642</v>
      </c>
      <c r="C1910" s="1" t="str">
        <f>IFERROR(__xludf.DUMMYFUNCTION("""COMPUTED_VALUE"""),"control")</f>
        <v>control</v>
      </c>
      <c r="D1910" s="1" t="str">
        <f>IFERROR(__xludf.DUMMYFUNCTION("""COMPUTED_VALUE"""),"old_page")</f>
        <v>old_page</v>
      </c>
      <c r="E1910" s="1">
        <f>IFERROR(__xludf.DUMMYFUNCTION("""COMPUTED_VALUE"""),0.0)</f>
        <v>0</v>
      </c>
    </row>
    <row r="1911">
      <c r="A1911" s="1">
        <f>IFERROR(__xludf.DUMMYFUNCTION("""COMPUTED_VALUE"""),653528.0)</f>
        <v>653528</v>
      </c>
      <c r="B1911" s="2">
        <f>IFERROR(__xludf.DUMMYFUNCTION("""COMPUTED_VALUE"""),42747.82404176477)</f>
        <v>42747.82404</v>
      </c>
      <c r="C1911" s="1" t="str">
        <f>IFERROR(__xludf.DUMMYFUNCTION("""COMPUTED_VALUE"""),"treatment")</f>
        <v>treatment</v>
      </c>
      <c r="D1911" s="1" t="str">
        <f>IFERROR(__xludf.DUMMYFUNCTION("""COMPUTED_VALUE"""),"new_page")</f>
        <v>new_page</v>
      </c>
      <c r="E1911" s="1">
        <f>IFERROR(__xludf.DUMMYFUNCTION("""COMPUTED_VALUE"""),1.0)</f>
        <v>1</v>
      </c>
    </row>
    <row r="1912">
      <c r="A1912" s="1">
        <f>IFERROR(__xludf.DUMMYFUNCTION("""COMPUTED_VALUE"""),654421.0)</f>
        <v>654421</v>
      </c>
      <c r="B1912" s="2">
        <f>IFERROR(__xludf.DUMMYFUNCTION("""COMPUTED_VALUE"""),42738.23694223071)</f>
        <v>42738.23694</v>
      </c>
      <c r="C1912" s="1" t="str">
        <f>IFERROR(__xludf.DUMMYFUNCTION("""COMPUTED_VALUE"""),"treatment")</f>
        <v>treatment</v>
      </c>
      <c r="D1912" s="1" t="str">
        <f>IFERROR(__xludf.DUMMYFUNCTION("""COMPUTED_VALUE"""),"new_page")</f>
        <v>new_page</v>
      </c>
      <c r="E1912" s="1">
        <f>IFERROR(__xludf.DUMMYFUNCTION("""COMPUTED_VALUE"""),0.0)</f>
        <v>0</v>
      </c>
    </row>
    <row r="1913">
      <c r="A1913" s="1">
        <f>IFERROR(__xludf.DUMMYFUNCTION("""COMPUTED_VALUE"""),799481.0)</f>
        <v>799481</v>
      </c>
      <c r="B1913" s="2">
        <f>IFERROR(__xludf.DUMMYFUNCTION("""COMPUTED_VALUE"""),42750.91482050197)</f>
        <v>42750.91482</v>
      </c>
      <c r="C1913" s="1" t="str">
        <f>IFERROR(__xludf.DUMMYFUNCTION("""COMPUTED_VALUE"""),"control")</f>
        <v>control</v>
      </c>
      <c r="D1913" s="1" t="str">
        <f>IFERROR(__xludf.DUMMYFUNCTION("""COMPUTED_VALUE"""),"old_page")</f>
        <v>old_page</v>
      </c>
      <c r="E1913" s="1">
        <f>IFERROR(__xludf.DUMMYFUNCTION("""COMPUTED_VALUE"""),0.0)</f>
        <v>0</v>
      </c>
    </row>
    <row r="1914">
      <c r="A1914" s="1">
        <f>IFERROR(__xludf.DUMMYFUNCTION("""COMPUTED_VALUE"""),704445.0)</f>
        <v>704445</v>
      </c>
      <c r="B1914" s="2">
        <f>IFERROR(__xludf.DUMMYFUNCTION("""COMPUTED_VALUE"""),42755.50957048023)</f>
        <v>42755.50957</v>
      </c>
      <c r="C1914" s="1" t="str">
        <f>IFERROR(__xludf.DUMMYFUNCTION("""COMPUTED_VALUE"""),"treatment")</f>
        <v>treatment</v>
      </c>
      <c r="D1914" s="1" t="str">
        <f>IFERROR(__xludf.DUMMYFUNCTION("""COMPUTED_VALUE"""),"new_page")</f>
        <v>new_page</v>
      </c>
      <c r="E1914" s="1">
        <f>IFERROR(__xludf.DUMMYFUNCTION("""COMPUTED_VALUE"""),0.0)</f>
        <v>0</v>
      </c>
    </row>
    <row r="1915">
      <c r="A1915" s="1">
        <f>IFERROR(__xludf.DUMMYFUNCTION("""COMPUTED_VALUE"""),903575.0)</f>
        <v>903575</v>
      </c>
      <c r="B1915" s="2">
        <f>IFERROR(__xludf.DUMMYFUNCTION("""COMPUTED_VALUE"""),42744.99111728919)</f>
        <v>42744.99112</v>
      </c>
      <c r="C1915" s="1" t="str">
        <f>IFERROR(__xludf.DUMMYFUNCTION("""COMPUTED_VALUE"""),"control")</f>
        <v>control</v>
      </c>
      <c r="D1915" s="1" t="str">
        <f>IFERROR(__xludf.DUMMYFUNCTION("""COMPUTED_VALUE"""),"old_page")</f>
        <v>old_page</v>
      </c>
      <c r="E1915" s="1">
        <f>IFERROR(__xludf.DUMMYFUNCTION("""COMPUTED_VALUE"""),0.0)</f>
        <v>0</v>
      </c>
    </row>
    <row r="1916">
      <c r="A1916" s="1">
        <f>IFERROR(__xludf.DUMMYFUNCTION("""COMPUTED_VALUE"""),849148.0)</f>
        <v>849148</v>
      </c>
      <c r="B1916" s="2">
        <f>IFERROR(__xludf.DUMMYFUNCTION("""COMPUTED_VALUE"""),42755.593580290726)</f>
        <v>42755.59358</v>
      </c>
      <c r="C1916" s="1" t="str">
        <f>IFERROR(__xludf.DUMMYFUNCTION("""COMPUTED_VALUE"""),"treatment")</f>
        <v>treatment</v>
      </c>
      <c r="D1916" s="1" t="str">
        <f>IFERROR(__xludf.DUMMYFUNCTION("""COMPUTED_VALUE"""),"new_page")</f>
        <v>new_page</v>
      </c>
      <c r="E1916" s="1">
        <f>IFERROR(__xludf.DUMMYFUNCTION("""COMPUTED_VALUE"""),0.0)</f>
        <v>0</v>
      </c>
    </row>
    <row r="1917">
      <c r="A1917" s="1">
        <f>IFERROR(__xludf.DUMMYFUNCTION("""COMPUTED_VALUE"""),702988.0)</f>
        <v>702988</v>
      </c>
      <c r="B1917" s="2">
        <f>IFERROR(__xludf.DUMMYFUNCTION("""COMPUTED_VALUE"""),42739.791602363875)</f>
        <v>42739.7916</v>
      </c>
      <c r="C1917" s="1" t="str">
        <f>IFERROR(__xludf.DUMMYFUNCTION("""COMPUTED_VALUE"""),"treatment")</f>
        <v>treatment</v>
      </c>
      <c r="D1917" s="1" t="str">
        <f>IFERROR(__xludf.DUMMYFUNCTION("""COMPUTED_VALUE"""),"new_page")</f>
        <v>new_page</v>
      </c>
      <c r="E1917" s="1">
        <f>IFERROR(__xludf.DUMMYFUNCTION("""COMPUTED_VALUE"""),0.0)</f>
        <v>0</v>
      </c>
    </row>
    <row r="1918">
      <c r="A1918" s="1">
        <f>IFERROR(__xludf.DUMMYFUNCTION("""COMPUTED_VALUE"""),847155.0)</f>
        <v>847155</v>
      </c>
      <c r="B1918" s="2">
        <f>IFERROR(__xludf.DUMMYFUNCTION("""COMPUTED_VALUE"""),42754.37468434296)</f>
        <v>42754.37468</v>
      </c>
      <c r="C1918" s="1" t="str">
        <f>IFERROR(__xludf.DUMMYFUNCTION("""COMPUTED_VALUE"""),"control")</f>
        <v>control</v>
      </c>
      <c r="D1918" s="1" t="str">
        <f>IFERROR(__xludf.DUMMYFUNCTION("""COMPUTED_VALUE"""),"old_page")</f>
        <v>old_page</v>
      </c>
      <c r="E1918" s="1">
        <f>IFERROR(__xludf.DUMMYFUNCTION("""COMPUTED_VALUE"""),0.0)</f>
        <v>0</v>
      </c>
    </row>
    <row r="1919">
      <c r="A1919" s="1">
        <f>IFERROR(__xludf.DUMMYFUNCTION("""COMPUTED_VALUE"""),897949.0)</f>
        <v>897949</v>
      </c>
      <c r="B1919" s="2">
        <f>IFERROR(__xludf.DUMMYFUNCTION("""COMPUTED_VALUE"""),42747.92052484357)</f>
        <v>42747.92052</v>
      </c>
      <c r="C1919" s="1" t="str">
        <f>IFERROR(__xludf.DUMMYFUNCTION("""COMPUTED_VALUE"""),"control")</f>
        <v>control</v>
      </c>
      <c r="D1919" s="1" t="str">
        <f>IFERROR(__xludf.DUMMYFUNCTION("""COMPUTED_VALUE"""),"old_page")</f>
        <v>old_page</v>
      </c>
      <c r="E1919" s="1">
        <f>IFERROR(__xludf.DUMMYFUNCTION("""COMPUTED_VALUE"""),0.0)</f>
        <v>0</v>
      </c>
    </row>
    <row r="1920">
      <c r="A1920" s="1">
        <f>IFERROR(__xludf.DUMMYFUNCTION("""COMPUTED_VALUE"""),903045.0)</f>
        <v>903045</v>
      </c>
      <c r="B1920" s="2">
        <f>IFERROR(__xludf.DUMMYFUNCTION("""COMPUTED_VALUE"""),42753.66043248952)</f>
        <v>42753.66043</v>
      </c>
      <c r="C1920" s="1" t="str">
        <f>IFERROR(__xludf.DUMMYFUNCTION("""COMPUTED_VALUE"""),"treatment")</f>
        <v>treatment</v>
      </c>
      <c r="D1920" s="1" t="str">
        <f>IFERROR(__xludf.DUMMYFUNCTION("""COMPUTED_VALUE"""),"new_page")</f>
        <v>new_page</v>
      </c>
      <c r="E1920" s="1">
        <f>IFERROR(__xludf.DUMMYFUNCTION("""COMPUTED_VALUE"""),0.0)</f>
        <v>0</v>
      </c>
    </row>
    <row r="1921">
      <c r="A1921" s="1">
        <f>IFERROR(__xludf.DUMMYFUNCTION("""COMPUTED_VALUE"""),700558.0)</f>
        <v>700558</v>
      </c>
      <c r="B1921" s="2">
        <f>IFERROR(__xludf.DUMMYFUNCTION("""COMPUTED_VALUE"""),42738.00047498441)</f>
        <v>42738.00047</v>
      </c>
      <c r="C1921" s="1" t="str">
        <f>IFERROR(__xludf.DUMMYFUNCTION("""COMPUTED_VALUE"""),"treatment")</f>
        <v>treatment</v>
      </c>
      <c r="D1921" s="1" t="str">
        <f>IFERROR(__xludf.DUMMYFUNCTION("""COMPUTED_VALUE"""),"new_page")</f>
        <v>new_page</v>
      </c>
      <c r="E1921" s="1">
        <f>IFERROR(__xludf.DUMMYFUNCTION("""COMPUTED_VALUE"""),0.0)</f>
        <v>0</v>
      </c>
    </row>
    <row r="1922">
      <c r="A1922" s="1">
        <f>IFERROR(__xludf.DUMMYFUNCTION("""COMPUTED_VALUE"""),708398.0)</f>
        <v>708398</v>
      </c>
      <c r="B1922" s="2">
        <f>IFERROR(__xludf.DUMMYFUNCTION("""COMPUTED_VALUE"""),42752.49012544573)</f>
        <v>42752.49013</v>
      </c>
      <c r="C1922" s="1" t="str">
        <f>IFERROR(__xludf.DUMMYFUNCTION("""COMPUTED_VALUE"""),"treatment")</f>
        <v>treatment</v>
      </c>
      <c r="D1922" s="1" t="str">
        <f>IFERROR(__xludf.DUMMYFUNCTION("""COMPUTED_VALUE"""),"new_page")</f>
        <v>new_page</v>
      </c>
      <c r="E1922" s="1">
        <f>IFERROR(__xludf.DUMMYFUNCTION("""COMPUTED_VALUE"""),0.0)</f>
        <v>0</v>
      </c>
    </row>
    <row r="1923">
      <c r="A1923" s="1">
        <f>IFERROR(__xludf.DUMMYFUNCTION("""COMPUTED_VALUE"""),635762.0)</f>
        <v>635762</v>
      </c>
      <c r="B1923" s="2">
        <f>IFERROR(__xludf.DUMMYFUNCTION("""COMPUTED_VALUE"""),42748.42119926164)</f>
        <v>42748.4212</v>
      </c>
      <c r="C1923" s="1" t="str">
        <f>IFERROR(__xludf.DUMMYFUNCTION("""COMPUTED_VALUE"""),"control")</f>
        <v>control</v>
      </c>
      <c r="D1923" s="1" t="str">
        <f>IFERROR(__xludf.DUMMYFUNCTION("""COMPUTED_VALUE"""),"old_page")</f>
        <v>old_page</v>
      </c>
      <c r="E1923" s="1">
        <f>IFERROR(__xludf.DUMMYFUNCTION("""COMPUTED_VALUE"""),0.0)</f>
        <v>0</v>
      </c>
    </row>
    <row r="1924">
      <c r="A1924" s="1">
        <f>IFERROR(__xludf.DUMMYFUNCTION("""COMPUTED_VALUE"""),884846.0)</f>
        <v>884846</v>
      </c>
      <c r="B1924" s="2">
        <f>IFERROR(__xludf.DUMMYFUNCTION("""COMPUTED_VALUE"""),42745.84270771089)</f>
        <v>42745.84271</v>
      </c>
      <c r="C1924" s="1" t="str">
        <f>IFERROR(__xludf.DUMMYFUNCTION("""COMPUTED_VALUE"""),"control")</f>
        <v>control</v>
      </c>
      <c r="D1924" s="1" t="str">
        <f>IFERROR(__xludf.DUMMYFUNCTION("""COMPUTED_VALUE"""),"old_page")</f>
        <v>old_page</v>
      </c>
      <c r="E1924" s="1">
        <f>IFERROR(__xludf.DUMMYFUNCTION("""COMPUTED_VALUE"""),0.0)</f>
        <v>0</v>
      </c>
    </row>
    <row r="1925">
      <c r="A1925" s="1">
        <f>IFERROR(__xludf.DUMMYFUNCTION("""COMPUTED_VALUE"""),898607.0)</f>
        <v>898607</v>
      </c>
      <c r="B1925" s="2">
        <f>IFERROR(__xludf.DUMMYFUNCTION("""COMPUTED_VALUE"""),42740.86286802889)</f>
        <v>42740.86287</v>
      </c>
      <c r="C1925" s="1" t="str">
        <f>IFERROR(__xludf.DUMMYFUNCTION("""COMPUTED_VALUE"""),"control")</f>
        <v>control</v>
      </c>
      <c r="D1925" s="1" t="str">
        <f>IFERROR(__xludf.DUMMYFUNCTION("""COMPUTED_VALUE"""),"old_page")</f>
        <v>old_page</v>
      </c>
      <c r="E1925" s="1">
        <f>IFERROR(__xludf.DUMMYFUNCTION("""COMPUTED_VALUE"""),0.0)</f>
        <v>0</v>
      </c>
    </row>
    <row r="1926">
      <c r="A1926" s="1">
        <f>IFERROR(__xludf.DUMMYFUNCTION("""COMPUTED_VALUE"""),834002.0)</f>
        <v>834002</v>
      </c>
      <c r="B1926" s="2">
        <f>IFERROR(__xludf.DUMMYFUNCTION("""COMPUTED_VALUE"""),42739.92982546993)</f>
        <v>42739.92983</v>
      </c>
      <c r="C1926" s="1" t="str">
        <f>IFERROR(__xludf.DUMMYFUNCTION("""COMPUTED_VALUE"""),"control")</f>
        <v>control</v>
      </c>
      <c r="D1926" s="1" t="str">
        <f>IFERROR(__xludf.DUMMYFUNCTION("""COMPUTED_VALUE"""),"old_page")</f>
        <v>old_page</v>
      </c>
      <c r="E1926" s="1">
        <f>IFERROR(__xludf.DUMMYFUNCTION("""COMPUTED_VALUE"""),0.0)</f>
        <v>0</v>
      </c>
    </row>
    <row r="1927">
      <c r="A1927" s="1">
        <f>IFERROR(__xludf.DUMMYFUNCTION("""COMPUTED_VALUE"""),663600.0)</f>
        <v>663600</v>
      </c>
      <c r="B1927" s="2">
        <f>IFERROR(__xludf.DUMMYFUNCTION("""COMPUTED_VALUE"""),42738.8091177612)</f>
        <v>42738.80912</v>
      </c>
      <c r="C1927" s="1" t="str">
        <f>IFERROR(__xludf.DUMMYFUNCTION("""COMPUTED_VALUE"""),"treatment")</f>
        <v>treatment</v>
      </c>
      <c r="D1927" s="1" t="str">
        <f>IFERROR(__xludf.DUMMYFUNCTION("""COMPUTED_VALUE"""),"new_page")</f>
        <v>new_page</v>
      </c>
      <c r="E1927" s="1">
        <f>IFERROR(__xludf.DUMMYFUNCTION("""COMPUTED_VALUE"""),0.0)</f>
        <v>0</v>
      </c>
    </row>
    <row r="1928">
      <c r="A1928" s="1">
        <f>IFERROR(__xludf.DUMMYFUNCTION("""COMPUTED_VALUE"""),727083.0)</f>
        <v>727083</v>
      </c>
      <c r="B1928" s="2">
        <f>IFERROR(__xludf.DUMMYFUNCTION("""COMPUTED_VALUE"""),42748.181947466925)</f>
        <v>42748.18195</v>
      </c>
      <c r="C1928" s="1" t="str">
        <f>IFERROR(__xludf.DUMMYFUNCTION("""COMPUTED_VALUE"""),"treatment")</f>
        <v>treatment</v>
      </c>
      <c r="D1928" s="1" t="str">
        <f>IFERROR(__xludf.DUMMYFUNCTION("""COMPUTED_VALUE"""),"new_page")</f>
        <v>new_page</v>
      </c>
      <c r="E1928" s="1">
        <f>IFERROR(__xludf.DUMMYFUNCTION("""COMPUTED_VALUE"""),0.0)</f>
        <v>0</v>
      </c>
    </row>
    <row r="1929">
      <c r="A1929" s="1">
        <f>IFERROR(__xludf.DUMMYFUNCTION("""COMPUTED_VALUE"""),760566.0)</f>
        <v>760566</v>
      </c>
      <c r="B1929" s="2">
        <f>IFERROR(__xludf.DUMMYFUNCTION("""COMPUTED_VALUE"""),42752.81332898735)</f>
        <v>42752.81333</v>
      </c>
      <c r="C1929" s="1" t="str">
        <f>IFERROR(__xludf.DUMMYFUNCTION("""COMPUTED_VALUE"""),"control")</f>
        <v>control</v>
      </c>
      <c r="D1929" s="1" t="str">
        <f>IFERROR(__xludf.DUMMYFUNCTION("""COMPUTED_VALUE"""),"old_page")</f>
        <v>old_page</v>
      </c>
      <c r="E1929" s="1">
        <f>IFERROR(__xludf.DUMMYFUNCTION("""COMPUTED_VALUE"""),0.0)</f>
        <v>0</v>
      </c>
    </row>
    <row r="1930">
      <c r="A1930" s="1">
        <f>IFERROR(__xludf.DUMMYFUNCTION("""COMPUTED_VALUE"""),698169.0)</f>
        <v>698169</v>
      </c>
      <c r="B1930" s="2">
        <f>IFERROR(__xludf.DUMMYFUNCTION("""COMPUTED_VALUE"""),42742.85387841015)</f>
        <v>42742.85388</v>
      </c>
      <c r="C1930" s="1" t="str">
        <f>IFERROR(__xludf.DUMMYFUNCTION("""COMPUTED_VALUE"""),"treatment")</f>
        <v>treatment</v>
      </c>
      <c r="D1930" s="1" t="str">
        <f>IFERROR(__xludf.DUMMYFUNCTION("""COMPUTED_VALUE"""),"new_page")</f>
        <v>new_page</v>
      </c>
      <c r="E1930" s="1">
        <f>IFERROR(__xludf.DUMMYFUNCTION("""COMPUTED_VALUE"""),0.0)</f>
        <v>0</v>
      </c>
    </row>
    <row r="1931">
      <c r="A1931" s="1">
        <f>IFERROR(__xludf.DUMMYFUNCTION("""COMPUTED_VALUE"""),827042.0)</f>
        <v>827042</v>
      </c>
      <c r="B1931" s="2">
        <f>IFERROR(__xludf.DUMMYFUNCTION("""COMPUTED_VALUE"""),42755.671846347526)</f>
        <v>42755.67185</v>
      </c>
      <c r="C1931" s="1" t="str">
        <f>IFERROR(__xludf.DUMMYFUNCTION("""COMPUTED_VALUE"""),"control")</f>
        <v>control</v>
      </c>
      <c r="D1931" s="1" t="str">
        <f>IFERROR(__xludf.DUMMYFUNCTION("""COMPUTED_VALUE"""),"old_page")</f>
        <v>old_page</v>
      </c>
      <c r="E1931" s="1">
        <f>IFERROR(__xludf.DUMMYFUNCTION("""COMPUTED_VALUE"""),1.0)</f>
        <v>1</v>
      </c>
    </row>
    <row r="1932">
      <c r="A1932" s="1">
        <f>IFERROR(__xludf.DUMMYFUNCTION("""COMPUTED_VALUE"""),823047.0)</f>
        <v>823047</v>
      </c>
      <c r="B1932" s="2">
        <f>IFERROR(__xludf.DUMMYFUNCTION("""COMPUTED_VALUE"""),42744.30307920719)</f>
        <v>42744.30308</v>
      </c>
      <c r="C1932" s="1" t="str">
        <f>IFERROR(__xludf.DUMMYFUNCTION("""COMPUTED_VALUE"""),"treatment")</f>
        <v>treatment</v>
      </c>
      <c r="D1932" s="1" t="str">
        <f>IFERROR(__xludf.DUMMYFUNCTION("""COMPUTED_VALUE"""),"new_page")</f>
        <v>new_page</v>
      </c>
      <c r="E1932" s="1">
        <f>IFERROR(__xludf.DUMMYFUNCTION("""COMPUTED_VALUE"""),0.0)</f>
        <v>0</v>
      </c>
    </row>
    <row r="1933">
      <c r="A1933" s="1">
        <f>IFERROR(__xludf.DUMMYFUNCTION("""COMPUTED_VALUE"""),716368.0)</f>
        <v>716368</v>
      </c>
      <c r="B1933" s="2">
        <f>IFERROR(__xludf.DUMMYFUNCTION("""COMPUTED_VALUE"""),42748.56559894873)</f>
        <v>42748.5656</v>
      </c>
      <c r="C1933" s="1" t="str">
        <f>IFERROR(__xludf.DUMMYFUNCTION("""COMPUTED_VALUE"""),"treatment")</f>
        <v>treatment</v>
      </c>
      <c r="D1933" s="1" t="str">
        <f>IFERROR(__xludf.DUMMYFUNCTION("""COMPUTED_VALUE"""),"new_page")</f>
        <v>new_page</v>
      </c>
      <c r="E1933" s="1">
        <f>IFERROR(__xludf.DUMMYFUNCTION("""COMPUTED_VALUE"""),1.0)</f>
        <v>1</v>
      </c>
    </row>
    <row r="1934">
      <c r="A1934" s="1">
        <f>IFERROR(__xludf.DUMMYFUNCTION("""COMPUTED_VALUE"""),798309.0)</f>
        <v>798309</v>
      </c>
      <c r="B1934" s="2">
        <f>IFERROR(__xludf.DUMMYFUNCTION("""COMPUTED_VALUE"""),42756.34987753008)</f>
        <v>42756.34988</v>
      </c>
      <c r="C1934" s="1" t="str">
        <f>IFERROR(__xludf.DUMMYFUNCTION("""COMPUTED_VALUE"""),"control")</f>
        <v>control</v>
      </c>
      <c r="D1934" s="1" t="str">
        <f>IFERROR(__xludf.DUMMYFUNCTION("""COMPUTED_VALUE"""),"old_page")</f>
        <v>old_page</v>
      </c>
      <c r="E1934" s="1">
        <f>IFERROR(__xludf.DUMMYFUNCTION("""COMPUTED_VALUE"""),0.0)</f>
        <v>0</v>
      </c>
    </row>
    <row r="1935">
      <c r="A1935" s="1">
        <f>IFERROR(__xludf.DUMMYFUNCTION("""COMPUTED_VALUE"""),897339.0)</f>
        <v>897339</v>
      </c>
      <c r="B1935" s="2">
        <f>IFERROR(__xludf.DUMMYFUNCTION("""COMPUTED_VALUE"""),42758.08120649091)</f>
        <v>42758.08121</v>
      </c>
      <c r="C1935" s="1" t="str">
        <f>IFERROR(__xludf.DUMMYFUNCTION("""COMPUTED_VALUE"""),"treatment")</f>
        <v>treatment</v>
      </c>
      <c r="D1935" s="1" t="str">
        <f>IFERROR(__xludf.DUMMYFUNCTION("""COMPUTED_VALUE"""),"new_page")</f>
        <v>new_page</v>
      </c>
      <c r="E1935" s="1">
        <f>IFERROR(__xludf.DUMMYFUNCTION("""COMPUTED_VALUE"""),0.0)</f>
        <v>0</v>
      </c>
    </row>
    <row r="1936">
      <c r="A1936" s="1">
        <f>IFERROR(__xludf.DUMMYFUNCTION("""COMPUTED_VALUE"""),853581.0)</f>
        <v>853581</v>
      </c>
      <c r="B1936" s="2">
        <f>IFERROR(__xludf.DUMMYFUNCTION("""COMPUTED_VALUE"""),42739.142731381224)</f>
        <v>42739.14273</v>
      </c>
      <c r="C1936" s="1" t="str">
        <f>IFERROR(__xludf.DUMMYFUNCTION("""COMPUTED_VALUE"""),"control")</f>
        <v>control</v>
      </c>
      <c r="D1936" s="1" t="str">
        <f>IFERROR(__xludf.DUMMYFUNCTION("""COMPUTED_VALUE"""),"old_page")</f>
        <v>old_page</v>
      </c>
      <c r="E1936" s="1">
        <f>IFERROR(__xludf.DUMMYFUNCTION("""COMPUTED_VALUE"""),0.0)</f>
        <v>0</v>
      </c>
    </row>
    <row r="1937">
      <c r="A1937" s="1">
        <f>IFERROR(__xludf.DUMMYFUNCTION("""COMPUTED_VALUE"""),864165.0)</f>
        <v>864165</v>
      </c>
      <c r="B1937" s="2">
        <f>IFERROR(__xludf.DUMMYFUNCTION("""COMPUTED_VALUE"""),42758.864688611066)</f>
        <v>42758.86469</v>
      </c>
      <c r="C1937" s="1" t="str">
        <f>IFERROR(__xludf.DUMMYFUNCTION("""COMPUTED_VALUE"""),"control")</f>
        <v>control</v>
      </c>
      <c r="D1937" s="1" t="str">
        <f>IFERROR(__xludf.DUMMYFUNCTION("""COMPUTED_VALUE"""),"old_page")</f>
        <v>old_page</v>
      </c>
      <c r="E1937" s="1">
        <f>IFERROR(__xludf.DUMMYFUNCTION("""COMPUTED_VALUE"""),0.0)</f>
        <v>0</v>
      </c>
    </row>
    <row r="1938">
      <c r="A1938" s="1">
        <f>IFERROR(__xludf.DUMMYFUNCTION("""COMPUTED_VALUE"""),927698.0)</f>
        <v>927698</v>
      </c>
      <c r="B1938" s="2">
        <f>IFERROR(__xludf.DUMMYFUNCTION("""COMPUTED_VALUE"""),42755.247030308776)</f>
        <v>42755.24703</v>
      </c>
      <c r="C1938" s="1" t="str">
        <f>IFERROR(__xludf.DUMMYFUNCTION("""COMPUTED_VALUE"""),"control")</f>
        <v>control</v>
      </c>
      <c r="D1938" s="1" t="str">
        <f>IFERROR(__xludf.DUMMYFUNCTION("""COMPUTED_VALUE"""),"old_page")</f>
        <v>old_page</v>
      </c>
      <c r="E1938" s="1">
        <f>IFERROR(__xludf.DUMMYFUNCTION("""COMPUTED_VALUE"""),0.0)</f>
        <v>0</v>
      </c>
    </row>
    <row r="1939">
      <c r="A1939" s="1">
        <f>IFERROR(__xludf.DUMMYFUNCTION("""COMPUTED_VALUE"""),871523.0)</f>
        <v>871523</v>
      </c>
      <c r="B1939" s="2">
        <f>IFERROR(__xludf.DUMMYFUNCTION("""COMPUTED_VALUE"""),42752.95470794278)</f>
        <v>42752.95471</v>
      </c>
      <c r="C1939" s="1" t="str">
        <f>IFERROR(__xludf.DUMMYFUNCTION("""COMPUTED_VALUE"""),"treatment")</f>
        <v>treatment</v>
      </c>
      <c r="D1939" s="1" t="str">
        <f>IFERROR(__xludf.DUMMYFUNCTION("""COMPUTED_VALUE"""),"new_page")</f>
        <v>new_page</v>
      </c>
      <c r="E1939" s="1">
        <f>IFERROR(__xludf.DUMMYFUNCTION("""COMPUTED_VALUE"""),0.0)</f>
        <v>0</v>
      </c>
    </row>
    <row r="1940">
      <c r="A1940" s="1">
        <f>IFERROR(__xludf.DUMMYFUNCTION("""COMPUTED_VALUE"""),762934.0)</f>
        <v>762934</v>
      </c>
      <c r="B1940" s="2">
        <f>IFERROR(__xludf.DUMMYFUNCTION("""COMPUTED_VALUE"""),42740.35769733676)</f>
        <v>42740.3577</v>
      </c>
      <c r="C1940" s="1" t="str">
        <f>IFERROR(__xludf.DUMMYFUNCTION("""COMPUTED_VALUE"""),"treatment")</f>
        <v>treatment</v>
      </c>
      <c r="D1940" s="1" t="str">
        <f>IFERROR(__xludf.DUMMYFUNCTION("""COMPUTED_VALUE"""),"new_page")</f>
        <v>new_page</v>
      </c>
      <c r="E1940" s="1">
        <f>IFERROR(__xludf.DUMMYFUNCTION("""COMPUTED_VALUE"""),1.0)</f>
        <v>1</v>
      </c>
    </row>
    <row r="1941">
      <c r="A1941" s="1">
        <f>IFERROR(__xludf.DUMMYFUNCTION("""COMPUTED_VALUE"""),719886.0)</f>
        <v>719886</v>
      </c>
      <c r="B1941" s="2">
        <f>IFERROR(__xludf.DUMMYFUNCTION("""COMPUTED_VALUE"""),42753.480767710396)</f>
        <v>42753.48077</v>
      </c>
      <c r="C1941" s="1" t="str">
        <f>IFERROR(__xludf.DUMMYFUNCTION("""COMPUTED_VALUE"""),"control")</f>
        <v>control</v>
      </c>
      <c r="D1941" s="1" t="str">
        <f>IFERROR(__xludf.DUMMYFUNCTION("""COMPUTED_VALUE"""),"old_page")</f>
        <v>old_page</v>
      </c>
      <c r="E1941" s="1">
        <f>IFERROR(__xludf.DUMMYFUNCTION("""COMPUTED_VALUE"""),0.0)</f>
        <v>0</v>
      </c>
    </row>
    <row r="1942">
      <c r="A1942" s="1">
        <f>IFERROR(__xludf.DUMMYFUNCTION("""COMPUTED_VALUE"""),723086.0)</f>
        <v>723086</v>
      </c>
      <c r="B1942" s="2">
        <f>IFERROR(__xludf.DUMMYFUNCTION("""COMPUTED_VALUE"""),42738.21064799868)</f>
        <v>42738.21065</v>
      </c>
      <c r="C1942" s="1" t="str">
        <f>IFERROR(__xludf.DUMMYFUNCTION("""COMPUTED_VALUE"""),"control")</f>
        <v>control</v>
      </c>
      <c r="D1942" s="1" t="str">
        <f>IFERROR(__xludf.DUMMYFUNCTION("""COMPUTED_VALUE"""),"old_page")</f>
        <v>old_page</v>
      </c>
      <c r="E1942" s="1">
        <f>IFERROR(__xludf.DUMMYFUNCTION("""COMPUTED_VALUE"""),1.0)</f>
        <v>1</v>
      </c>
    </row>
    <row r="1943">
      <c r="A1943" s="1">
        <f>IFERROR(__xludf.DUMMYFUNCTION("""COMPUTED_VALUE"""),809620.0)</f>
        <v>809620</v>
      </c>
      <c r="B1943" s="2">
        <f>IFERROR(__xludf.DUMMYFUNCTION("""COMPUTED_VALUE"""),42742.69905478872)</f>
        <v>42742.69905</v>
      </c>
      <c r="C1943" s="1" t="str">
        <f>IFERROR(__xludf.DUMMYFUNCTION("""COMPUTED_VALUE"""),"treatment")</f>
        <v>treatment</v>
      </c>
      <c r="D1943" s="1" t="str">
        <f>IFERROR(__xludf.DUMMYFUNCTION("""COMPUTED_VALUE"""),"new_page")</f>
        <v>new_page</v>
      </c>
      <c r="E1943" s="1">
        <f>IFERROR(__xludf.DUMMYFUNCTION("""COMPUTED_VALUE"""),0.0)</f>
        <v>0</v>
      </c>
    </row>
    <row r="1944">
      <c r="A1944" s="1">
        <f>IFERROR(__xludf.DUMMYFUNCTION("""COMPUTED_VALUE"""),840417.0)</f>
        <v>840417</v>
      </c>
      <c r="B1944" s="2">
        <f>IFERROR(__xludf.DUMMYFUNCTION("""COMPUTED_VALUE"""),42744.717913349945)</f>
        <v>42744.71791</v>
      </c>
      <c r="C1944" s="1" t="str">
        <f>IFERROR(__xludf.DUMMYFUNCTION("""COMPUTED_VALUE"""),"control")</f>
        <v>control</v>
      </c>
      <c r="D1944" s="1" t="str">
        <f>IFERROR(__xludf.DUMMYFUNCTION("""COMPUTED_VALUE"""),"old_page")</f>
        <v>old_page</v>
      </c>
      <c r="E1944" s="1">
        <f>IFERROR(__xludf.DUMMYFUNCTION("""COMPUTED_VALUE"""),0.0)</f>
        <v>0</v>
      </c>
    </row>
    <row r="1945">
      <c r="A1945" s="1">
        <f>IFERROR(__xludf.DUMMYFUNCTION("""COMPUTED_VALUE"""),741051.0)</f>
        <v>741051</v>
      </c>
      <c r="B1945" s="2">
        <f>IFERROR(__xludf.DUMMYFUNCTION("""COMPUTED_VALUE"""),42754.110044786496)</f>
        <v>42754.11004</v>
      </c>
      <c r="C1945" s="1" t="str">
        <f>IFERROR(__xludf.DUMMYFUNCTION("""COMPUTED_VALUE"""),"control")</f>
        <v>control</v>
      </c>
      <c r="D1945" s="1" t="str">
        <f>IFERROR(__xludf.DUMMYFUNCTION("""COMPUTED_VALUE"""),"old_page")</f>
        <v>old_page</v>
      </c>
      <c r="E1945" s="1">
        <f>IFERROR(__xludf.DUMMYFUNCTION("""COMPUTED_VALUE"""),0.0)</f>
        <v>0</v>
      </c>
    </row>
    <row r="1946">
      <c r="A1946" s="1">
        <f>IFERROR(__xludf.DUMMYFUNCTION("""COMPUTED_VALUE"""),678147.0)</f>
        <v>678147</v>
      </c>
      <c r="B1946" s="2">
        <f>IFERROR(__xludf.DUMMYFUNCTION("""COMPUTED_VALUE"""),42738.99924684502)</f>
        <v>42738.99925</v>
      </c>
      <c r="C1946" s="1" t="str">
        <f>IFERROR(__xludf.DUMMYFUNCTION("""COMPUTED_VALUE"""),"treatment")</f>
        <v>treatment</v>
      </c>
      <c r="D1946" s="1" t="str">
        <f>IFERROR(__xludf.DUMMYFUNCTION("""COMPUTED_VALUE"""),"new_page")</f>
        <v>new_page</v>
      </c>
      <c r="E1946" s="1">
        <f>IFERROR(__xludf.DUMMYFUNCTION("""COMPUTED_VALUE"""),0.0)</f>
        <v>0</v>
      </c>
    </row>
    <row r="1947">
      <c r="A1947" s="1">
        <f>IFERROR(__xludf.DUMMYFUNCTION("""COMPUTED_VALUE"""),859078.0)</f>
        <v>859078</v>
      </c>
      <c r="B1947" s="2">
        <f>IFERROR(__xludf.DUMMYFUNCTION("""COMPUTED_VALUE"""),42745.8770077137)</f>
        <v>42745.87701</v>
      </c>
      <c r="C1947" s="1" t="str">
        <f>IFERROR(__xludf.DUMMYFUNCTION("""COMPUTED_VALUE"""),"treatment")</f>
        <v>treatment</v>
      </c>
      <c r="D1947" s="1" t="str">
        <f>IFERROR(__xludf.DUMMYFUNCTION("""COMPUTED_VALUE"""),"new_page")</f>
        <v>new_page</v>
      </c>
      <c r="E1947" s="1">
        <f>IFERROR(__xludf.DUMMYFUNCTION("""COMPUTED_VALUE"""),0.0)</f>
        <v>0</v>
      </c>
    </row>
    <row r="1948">
      <c r="A1948" s="1">
        <f>IFERROR(__xludf.DUMMYFUNCTION("""COMPUTED_VALUE"""),765339.0)</f>
        <v>765339</v>
      </c>
      <c r="B1948" s="2">
        <f>IFERROR(__xludf.DUMMYFUNCTION("""COMPUTED_VALUE"""),42743.2824672781)</f>
        <v>42743.28247</v>
      </c>
      <c r="C1948" s="1" t="str">
        <f>IFERROR(__xludf.DUMMYFUNCTION("""COMPUTED_VALUE"""),"treatment")</f>
        <v>treatment</v>
      </c>
      <c r="D1948" s="1" t="str">
        <f>IFERROR(__xludf.DUMMYFUNCTION("""COMPUTED_VALUE"""),"new_page")</f>
        <v>new_page</v>
      </c>
      <c r="E1948" s="1">
        <f>IFERROR(__xludf.DUMMYFUNCTION("""COMPUTED_VALUE"""),1.0)</f>
        <v>1</v>
      </c>
    </row>
    <row r="1949">
      <c r="A1949" s="1">
        <f>IFERROR(__xludf.DUMMYFUNCTION("""COMPUTED_VALUE"""),916726.0)</f>
        <v>916726</v>
      </c>
      <c r="B1949" s="2">
        <f>IFERROR(__xludf.DUMMYFUNCTION("""COMPUTED_VALUE"""),42746.37702503394)</f>
        <v>42746.37703</v>
      </c>
      <c r="C1949" s="1" t="str">
        <f>IFERROR(__xludf.DUMMYFUNCTION("""COMPUTED_VALUE"""),"control")</f>
        <v>control</v>
      </c>
      <c r="D1949" s="1" t="str">
        <f>IFERROR(__xludf.DUMMYFUNCTION("""COMPUTED_VALUE"""),"old_page")</f>
        <v>old_page</v>
      </c>
      <c r="E1949" s="1">
        <f>IFERROR(__xludf.DUMMYFUNCTION("""COMPUTED_VALUE"""),0.0)</f>
        <v>0</v>
      </c>
    </row>
    <row r="1950">
      <c r="A1950" s="1">
        <f>IFERROR(__xludf.DUMMYFUNCTION("""COMPUTED_VALUE"""),915523.0)</f>
        <v>915523</v>
      </c>
      <c r="B1950" s="2">
        <f>IFERROR(__xludf.DUMMYFUNCTION("""COMPUTED_VALUE"""),42756.990290225425)</f>
        <v>42756.99029</v>
      </c>
      <c r="C1950" s="1" t="str">
        <f>IFERROR(__xludf.DUMMYFUNCTION("""COMPUTED_VALUE"""),"treatment")</f>
        <v>treatment</v>
      </c>
      <c r="D1950" s="1" t="str">
        <f>IFERROR(__xludf.DUMMYFUNCTION("""COMPUTED_VALUE"""),"new_page")</f>
        <v>new_page</v>
      </c>
      <c r="E1950" s="1">
        <f>IFERROR(__xludf.DUMMYFUNCTION("""COMPUTED_VALUE"""),0.0)</f>
        <v>0</v>
      </c>
    </row>
    <row r="1951">
      <c r="A1951" s="1">
        <f>IFERROR(__xludf.DUMMYFUNCTION("""COMPUTED_VALUE"""),808036.0)</f>
        <v>808036</v>
      </c>
      <c r="B1951" s="2">
        <f>IFERROR(__xludf.DUMMYFUNCTION("""COMPUTED_VALUE"""),42740.63308628647)</f>
        <v>42740.63309</v>
      </c>
      <c r="C1951" s="1" t="str">
        <f>IFERROR(__xludf.DUMMYFUNCTION("""COMPUTED_VALUE"""),"control")</f>
        <v>control</v>
      </c>
      <c r="D1951" s="1" t="str">
        <f>IFERROR(__xludf.DUMMYFUNCTION("""COMPUTED_VALUE"""),"old_page")</f>
        <v>old_page</v>
      </c>
      <c r="E1951" s="1">
        <f>IFERROR(__xludf.DUMMYFUNCTION("""COMPUTED_VALUE"""),0.0)</f>
        <v>0</v>
      </c>
    </row>
    <row r="1952">
      <c r="A1952" s="1">
        <f>IFERROR(__xludf.DUMMYFUNCTION("""COMPUTED_VALUE"""),809530.0)</f>
        <v>809530</v>
      </c>
      <c r="B1952" s="2">
        <f>IFERROR(__xludf.DUMMYFUNCTION("""COMPUTED_VALUE"""),42756.525050904274)</f>
        <v>42756.52505</v>
      </c>
      <c r="C1952" s="1" t="str">
        <f>IFERROR(__xludf.DUMMYFUNCTION("""COMPUTED_VALUE"""),"treatment")</f>
        <v>treatment</v>
      </c>
      <c r="D1952" s="1" t="str">
        <f>IFERROR(__xludf.DUMMYFUNCTION("""COMPUTED_VALUE"""),"new_page")</f>
        <v>new_page</v>
      </c>
      <c r="E1952" s="1">
        <f>IFERROR(__xludf.DUMMYFUNCTION("""COMPUTED_VALUE"""),0.0)</f>
        <v>0</v>
      </c>
    </row>
    <row r="1953">
      <c r="A1953" s="1">
        <f>IFERROR(__xludf.DUMMYFUNCTION("""COMPUTED_VALUE"""),829618.0)</f>
        <v>829618</v>
      </c>
      <c r="B1953" s="2">
        <f>IFERROR(__xludf.DUMMYFUNCTION("""COMPUTED_VALUE"""),42738.31068243022)</f>
        <v>42738.31068</v>
      </c>
      <c r="C1953" s="1" t="str">
        <f>IFERROR(__xludf.DUMMYFUNCTION("""COMPUTED_VALUE"""),"control")</f>
        <v>control</v>
      </c>
      <c r="D1953" s="1" t="str">
        <f>IFERROR(__xludf.DUMMYFUNCTION("""COMPUTED_VALUE"""),"old_page")</f>
        <v>old_page</v>
      </c>
      <c r="E1953" s="1">
        <f>IFERROR(__xludf.DUMMYFUNCTION("""COMPUTED_VALUE"""),0.0)</f>
        <v>0</v>
      </c>
    </row>
    <row r="1954">
      <c r="A1954" s="1">
        <f>IFERROR(__xludf.DUMMYFUNCTION("""COMPUTED_VALUE"""),873513.0)</f>
        <v>873513</v>
      </c>
      <c r="B1954" s="2">
        <f>IFERROR(__xludf.DUMMYFUNCTION("""COMPUTED_VALUE"""),42738.74246436449)</f>
        <v>42738.74246</v>
      </c>
      <c r="C1954" s="1" t="str">
        <f>IFERROR(__xludf.DUMMYFUNCTION("""COMPUTED_VALUE"""),"treatment")</f>
        <v>treatment</v>
      </c>
      <c r="D1954" s="1" t="str">
        <f>IFERROR(__xludf.DUMMYFUNCTION("""COMPUTED_VALUE"""),"new_page")</f>
        <v>new_page</v>
      </c>
      <c r="E1954" s="1">
        <f>IFERROR(__xludf.DUMMYFUNCTION("""COMPUTED_VALUE"""),0.0)</f>
        <v>0</v>
      </c>
    </row>
    <row r="1955">
      <c r="A1955" s="1">
        <f>IFERROR(__xludf.DUMMYFUNCTION("""COMPUTED_VALUE"""),740577.0)</f>
        <v>740577</v>
      </c>
      <c r="B1955" s="2">
        <f>IFERROR(__xludf.DUMMYFUNCTION("""COMPUTED_VALUE"""),42750.50761029035)</f>
        <v>42750.50761</v>
      </c>
      <c r="C1955" s="1" t="str">
        <f>IFERROR(__xludf.DUMMYFUNCTION("""COMPUTED_VALUE"""),"treatment")</f>
        <v>treatment</v>
      </c>
      <c r="D1955" s="1" t="str">
        <f>IFERROR(__xludf.DUMMYFUNCTION("""COMPUTED_VALUE"""),"new_page")</f>
        <v>new_page</v>
      </c>
      <c r="E1955" s="1">
        <f>IFERROR(__xludf.DUMMYFUNCTION("""COMPUTED_VALUE"""),0.0)</f>
        <v>0</v>
      </c>
    </row>
    <row r="1956">
      <c r="A1956" s="1">
        <f>IFERROR(__xludf.DUMMYFUNCTION("""COMPUTED_VALUE"""),789620.0)</f>
        <v>789620</v>
      </c>
      <c r="B1956" s="2">
        <f>IFERROR(__xludf.DUMMYFUNCTION("""COMPUTED_VALUE"""),42745.029921067755)</f>
        <v>42745.02992</v>
      </c>
      <c r="C1956" s="1" t="str">
        <f>IFERROR(__xludf.DUMMYFUNCTION("""COMPUTED_VALUE"""),"treatment")</f>
        <v>treatment</v>
      </c>
      <c r="D1956" s="1" t="str">
        <f>IFERROR(__xludf.DUMMYFUNCTION("""COMPUTED_VALUE"""),"new_page")</f>
        <v>new_page</v>
      </c>
      <c r="E1956" s="1">
        <f>IFERROR(__xludf.DUMMYFUNCTION("""COMPUTED_VALUE"""),1.0)</f>
        <v>1</v>
      </c>
    </row>
    <row r="1957">
      <c r="A1957" s="1">
        <f>IFERROR(__xludf.DUMMYFUNCTION("""COMPUTED_VALUE"""),785301.0)</f>
        <v>785301</v>
      </c>
      <c r="B1957" s="2">
        <f>IFERROR(__xludf.DUMMYFUNCTION("""COMPUTED_VALUE"""),42753.37684207434)</f>
        <v>42753.37684</v>
      </c>
      <c r="C1957" s="1" t="str">
        <f>IFERROR(__xludf.DUMMYFUNCTION("""COMPUTED_VALUE"""),"treatment")</f>
        <v>treatment</v>
      </c>
      <c r="D1957" s="1" t="str">
        <f>IFERROR(__xludf.DUMMYFUNCTION("""COMPUTED_VALUE"""),"new_page")</f>
        <v>new_page</v>
      </c>
      <c r="E1957" s="1">
        <f>IFERROR(__xludf.DUMMYFUNCTION("""COMPUTED_VALUE"""),0.0)</f>
        <v>0</v>
      </c>
    </row>
    <row r="1958">
      <c r="A1958" s="1">
        <f>IFERROR(__xludf.DUMMYFUNCTION("""COMPUTED_VALUE"""),895310.0)</f>
        <v>895310</v>
      </c>
      <c r="B1958" s="2">
        <f>IFERROR(__xludf.DUMMYFUNCTION("""COMPUTED_VALUE"""),42756.66883120009)</f>
        <v>42756.66883</v>
      </c>
      <c r="C1958" s="1" t="str">
        <f>IFERROR(__xludf.DUMMYFUNCTION("""COMPUTED_VALUE"""),"control")</f>
        <v>control</v>
      </c>
      <c r="D1958" s="1" t="str">
        <f>IFERROR(__xludf.DUMMYFUNCTION("""COMPUTED_VALUE"""),"old_page")</f>
        <v>old_page</v>
      </c>
      <c r="E1958" s="1">
        <f>IFERROR(__xludf.DUMMYFUNCTION("""COMPUTED_VALUE"""),0.0)</f>
        <v>0</v>
      </c>
    </row>
    <row r="1959">
      <c r="A1959" s="1">
        <f>IFERROR(__xludf.DUMMYFUNCTION("""COMPUTED_VALUE"""),720673.0)</f>
        <v>720673</v>
      </c>
      <c r="B1959" s="2">
        <f>IFERROR(__xludf.DUMMYFUNCTION("""COMPUTED_VALUE"""),42742.20106452969)</f>
        <v>42742.20106</v>
      </c>
      <c r="C1959" s="1" t="str">
        <f>IFERROR(__xludf.DUMMYFUNCTION("""COMPUTED_VALUE"""),"control")</f>
        <v>control</v>
      </c>
      <c r="D1959" s="1" t="str">
        <f>IFERROR(__xludf.DUMMYFUNCTION("""COMPUTED_VALUE"""),"old_page")</f>
        <v>old_page</v>
      </c>
      <c r="E1959" s="1">
        <f>IFERROR(__xludf.DUMMYFUNCTION("""COMPUTED_VALUE"""),0.0)</f>
        <v>0</v>
      </c>
    </row>
    <row r="1960">
      <c r="A1960" s="1">
        <f>IFERROR(__xludf.DUMMYFUNCTION("""COMPUTED_VALUE"""),732243.0)</f>
        <v>732243</v>
      </c>
      <c r="B1960" s="2">
        <f>IFERROR(__xludf.DUMMYFUNCTION("""COMPUTED_VALUE"""),42744.50762748218)</f>
        <v>42744.50763</v>
      </c>
      <c r="C1960" s="1" t="str">
        <f>IFERROR(__xludf.DUMMYFUNCTION("""COMPUTED_VALUE"""),"treatment")</f>
        <v>treatment</v>
      </c>
      <c r="D1960" s="1" t="str">
        <f>IFERROR(__xludf.DUMMYFUNCTION("""COMPUTED_VALUE"""),"new_page")</f>
        <v>new_page</v>
      </c>
      <c r="E1960" s="1">
        <f>IFERROR(__xludf.DUMMYFUNCTION("""COMPUTED_VALUE"""),0.0)</f>
        <v>0</v>
      </c>
    </row>
    <row r="1961">
      <c r="A1961" s="1">
        <f>IFERROR(__xludf.DUMMYFUNCTION("""COMPUTED_VALUE"""),880462.0)</f>
        <v>880462</v>
      </c>
      <c r="B1961" s="2">
        <f>IFERROR(__xludf.DUMMYFUNCTION("""COMPUTED_VALUE"""),42756.98017951842)</f>
        <v>42756.98018</v>
      </c>
      <c r="C1961" s="1" t="str">
        <f>IFERROR(__xludf.DUMMYFUNCTION("""COMPUTED_VALUE"""),"treatment")</f>
        <v>treatment</v>
      </c>
      <c r="D1961" s="1" t="str">
        <f>IFERROR(__xludf.DUMMYFUNCTION("""COMPUTED_VALUE"""),"new_page")</f>
        <v>new_page</v>
      </c>
      <c r="E1961" s="1">
        <f>IFERROR(__xludf.DUMMYFUNCTION("""COMPUTED_VALUE"""),0.0)</f>
        <v>0</v>
      </c>
    </row>
    <row r="1962">
      <c r="A1962" s="1">
        <f>IFERROR(__xludf.DUMMYFUNCTION("""COMPUTED_VALUE"""),710548.0)</f>
        <v>710548</v>
      </c>
      <c r="B1962" s="2">
        <f>IFERROR(__xludf.DUMMYFUNCTION("""COMPUTED_VALUE"""),42754.51783619419)</f>
        <v>42754.51784</v>
      </c>
      <c r="C1962" s="1" t="str">
        <f>IFERROR(__xludf.DUMMYFUNCTION("""COMPUTED_VALUE"""),"control")</f>
        <v>control</v>
      </c>
      <c r="D1962" s="1" t="str">
        <f>IFERROR(__xludf.DUMMYFUNCTION("""COMPUTED_VALUE"""),"old_page")</f>
        <v>old_page</v>
      </c>
      <c r="E1962" s="1">
        <f>IFERROR(__xludf.DUMMYFUNCTION("""COMPUTED_VALUE"""),0.0)</f>
        <v>0</v>
      </c>
    </row>
    <row r="1963">
      <c r="A1963" s="1">
        <f>IFERROR(__xludf.DUMMYFUNCTION("""COMPUTED_VALUE"""),637301.0)</f>
        <v>637301</v>
      </c>
      <c r="B1963" s="2">
        <f>IFERROR(__xludf.DUMMYFUNCTION("""COMPUTED_VALUE"""),42739.10455990464)</f>
        <v>42739.10456</v>
      </c>
      <c r="C1963" s="1" t="str">
        <f>IFERROR(__xludf.DUMMYFUNCTION("""COMPUTED_VALUE"""),"treatment")</f>
        <v>treatment</v>
      </c>
      <c r="D1963" s="1" t="str">
        <f>IFERROR(__xludf.DUMMYFUNCTION("""COMPUTED_VALUE"""),"new_page")</f>
        <v>new_page</v>
      </c>
      <c r="E1963" s="1">
        <f>IFERROR(__xludf.DUMMYFUNCTION("""COMPUTED_VALUE"""),0.0)</f>
        <v>0</v>
      </c>
    </row>
    <row r="1964">
      <c r="A1964" s="1">
        <f>IFERROR(__xludf.DUMMYFUNCTION("""COMPUTED_VALUE"""),786321.0)</f>
        <v>786321</v>
      </c>
      <c r="B1964" s="2">
        <f>IFERROR(__xludf.DUMMYFUNCTION("""COMPUTED_VALUE"""),42752.21968121722)</f>
        <v>42752.21968</v>
      </c>
      <c r="C1964" s="1" t="str">
        <f>IFERROR(__xludf.DUMMYFUNCTION("""COMPUTED_VALUE"""),"treatment")</f>
        <v>treatment</v>
      </c>
      <c r="D1964" s="1" t="str">
        <f>IFERROR(__xludf.DUMMYFUNCTION("""COMPUTED_VALUE"""),"new_page")</f>
        <v>new_page</v>
      </c>
      <c r="E1964" s="1">
        <f>IFERROR(__xludf.DUMMYFUNCTION("""COMPUTED_VALUE"""),0.0)</f>
        <v>0</v>
      </c>
    </row>
    <row r="1965">
      <c r="A1965" s="1">
        <f>IFERROR(__xludf.DUMMYFUNCTION("""COMPUTED_VALUE"""),779072.0)</f>
        <v>779072</v>
      </c>
      <c r="B1965" s="2">
        <f>IFERROR(__xludf.DUMMYFUNCTION("""COMPUTED_VALUE"""),42752.59039654598)</f>
        <v>42752.5904</v>
      </c>
      <c r="C1965" s="1" t="str">
        <f>IFERROR(__xludf.DUMMYFUNCTION("""COMPUTED_VALUE"""),"treatment")</f>
        <v>treatment</v>
      </c>
      <c r="D1965" s="1" t="str">
        <f>IFERROR(__xludf.DUMMYFUNCTION("""COMPUTED_VALUE"""),"new_page")</f>
        <v>new_page</v>
      </c>
      <c r="E1965" s="1">
        <f>IFERROR(__xludf.DUMMYFUNCTION("""COMPUTED_VALUE"""),0.0)</f>
        <v>0</v>
      </c>
    </row>
    <row r="1966">
      <c r="A1966" s="1">
        <f>IFERROR(__xludf.DUMMYFUNCTION("""COMPUTED_VALUE"""),671626.0)</f>
        <v>671626</v>
      </c>
      <c r="B1966" s="2">
        <f>IFERROR(__xludf.DUMMYFUNCTION("""COMPUTED_VALUE"""),42753.141470906965)</f>
        <v>42753.14147</v>
      </c>
      <c r="C1966" s="1" t="str">
        <f>IFERROR(__xludf.DUMMYFUNCTION("""COMPUTED_VALUE"""),"control")</f>
        <v>control</v>
      </c>
      <c r="D1966" s="1" t="str">
        <f>IFERROR(__xludf.DUMMYFUNCTION("""COMPUTED_VALUE"""),"old_page")</f>
        <v>old_page</v>
      </c>
      <c r="E1966" s="1">
        <f>IFERROR(__xludf.DUMMYFUNCTION("""COMPUTED_VALUE"""),0.0)</f>
        <v>0</v>
      </c>
    </row>
    <row r="1967">
      <c r="A1967" s="1">
        <f>IFERROR(__xludf.DUMMYFUNCTION("""COMPUTED_VALUE"""),881001.0)</f>
        <v>881001</v>
      </c>
      <c r="B1967" s="2">
        <f>IFERROR(__xludf.DUMMYFUNCTION("""COMPUTED_VALUE"""),42743.73072623801)</f>
        <v>42743.73073</v>
      </c>
      <c r="C1967" s="1" t="str">
        <f>IFERROR(__xludf.DUMMYFUNCTION("""COMPUTED_VALUE"""),"treatment")</f>
        <v>treatment</v>
      </c>
      <c r="D1967" s="1" t="str">
        <f>IFERROR(__xludf.DUMMYFUNCTION("""COMPUTED_VALUE"""),"new_page")</f>
        <v>new_page</v>
      </c>
      <c r="E1967" s="1">
        <f>IFERROR(__xludf.DUMMYFUNCTION("""COMPUTED_VALUE"""),0.0)</f>
        <v>0</v>
      </c>
    </row>
    <row r="1968">
      <c r="A1968" s="1">
        <f>IFERROR(__xludf.DUMMYFUNCTION("""COMPUTED_VALUE"""),733552.0)</f>
        <v>733552</v>
      </c>
      <c r="B1968" s="2">
        <f>IFERROR(__xludf.DUMMYFUNCTION("""COMPUTED_VALUE"""),42744.06985268156)</f>
        <v>42744.06985</v>
      </c>
      <c r="C1968" s="1" t="str">
        <f>IFERROR(__xludf.DUMMYFUNCTION("""COMPUTED_VALUE"""),"treatment")</f>
        <v>treatment</v>
      </c>
      <c r="D1968" s="1" t="str">
        <f>IFERROR(__xludf.DUMMYFUNCTION("""COMPUTED_VALUE"""),"new_page")</f>
        <v>new_page</v>
      </c>
      <c r="E1968" s="1">
        <f>IFERROR(__xludf.DUMMYFUNCTION("""COMPUTED_VALUE"""),0.0)</f>
        <v>0</v>
      </c>
    </row>
    <row r="1969">
      <c r="A1969" s="1">
        <f>IFERROR(__xludf.DUMMYFUNCTION("""COMPUTED_VALUE"""),766887.0)</f>
        <v>766887</v>
      </c>
      <c r="B1969" s="2">
        <f>IFERROR(__xludf.DUMMYFUNCTION("""COMPUTED_VALUE"""),42741.556738262625)</f>
        <v>42741.55674</v>
      </c>
      <c r="C1969" s="1" t="str">
        <f>IFERROR(__xludf.DUMMYFUNCTION("""COMPUTED_VALUE"""),"control")</f>
        <v>control</v>
      </c>
      <c r="D1969" s="1" t="str">
        <f>IFERROR(__xludf.DUMMYFUNCTION("""COMPUTED_VALUE"""),"old_page")</f>
        <v>old_page</v>
      </c>
      <c r="E1969" s="1">
        <f>IFERROR(__xludf.DUMMYFUNCTION("""COMPUTED_VALUE"""),0.0)</f>
        <v>0</v>
      </c>
    </row>
    <row r="1970">
      <c r="A1970" s="1">
        <f>IFERROR(__xludf.DUMMYFUNCTION("""COMPUTED_VALUE"""),729770.0)</f>
        <v>729770</v>
      </c>
      <c r="B1970" s="2">
        <f>IFERROR(__xludf.DUMMYFUNCTION("""COMPUTED_VALUE"""),42753.457028408484)</f>
        <v>42753.45703</v>
      </c>
      <c r="C1970" s="1" t="str">
        <f>IFERROR(__xludf.DUMMYFUNCTION("""COMPUTED_VALUE"""),"treatment")</f>
        <v>treatment</v>
      </c>
      <c r="D1970" s="1" t="str">
        <f>IFERROR(__xludf.DUMMYFUNCTION("""COMPUTED_VALUE"""),"new_page")</f>
        <v>new_page</v>
      </c>
      <c r="E1970" s="1">
        <f>IFERROR(__xludf.DUMMYFUNCTION("""COMPUTED_VALUE"""),0.0)</f>
        <v>0</v>
      </c>
    </row>
    <row r="1971">
      <c r="A1971" s="1">
        <f>IFERROR(__xludf.DUMMYFUNCTION("""COMPUTED_VALUE"""),884625.0)</f>
        <v>884625</v>
      </c>
      <c r="B1971" s="2">
        <f>IFERROR(__xludf.DUMMYFUNCTION("""COMPUTED_VALUE"""),42757.412476709585)</f>
        <v>42757.41248</v>
      </c>
      <c r="C1971" s="1" t="str">
        <f>IFERROR(__xludf.DUMMYFUNCTION("""COMPUTED_VALUE"""),"treatment")</f>
        <v>treatment</v>
      </c>
      <c r="D1971" s="1" t="str">
        <f>IFERROR(__xludf.DUMMYFUNCTION("""COMPUTED_VALUE"""),"new_page")</f>
        <v>new_page</v>
      </c>
      <c r="E1971" s="1">
        <f>IFERROR(__xludf.DUMMYFUNCTION("""COMPUTED_VALUE"""),0.0)</f>
        <v>0</v>
      </c>
    </row>
    <row r="1972">
      <c r="A1972" s="1">
        <f>IFERROR(__xludf.DUMMYFUNCTION("""COMPUTED_VALUE"""),718046.0)</f>
        <v>718046</v>
      </c>
      <c r="B1972" s="2">
        <f>IFERROR(__xludf.DUMMYFUNCTION("""COMPUTED_VALUE"""),42754.53033738418)</f>
        <v>42754.53034</v>
      </c>
      <c r="C1972" s="1" t="str">
        <f>IFERROR(__xludf.DUMMYFUNCTION("""COMPUTED_VALUE"""),"treatment")</f>
        <v>treatment</v>
      </c>
      <c r="D1972" s="1" t="str">
        <f>IFERROR(__xludf.DUMMYFUNCTION("""COMPUTED_VALUE"""),"new_page")</f>
        <v>new_page</v>
      </c>
      <c r="E1972" s="1">
        <f>IFERROR(__xludf.DUMMYFUNCTION("""COMPUTED_VALUE"""),0.0)</f>
        <v>0</v>
      </c>
    </row>
    <row r="1973">
      <c r="A1973" s="1">
        <f>IFERROR(__xludf.DUMMYFUNCTION("""COMPUTED_VALUE"""),896076.0)</f>
        <v>896076</v>
      </c>
      <c r="B1973" s="2">
        <f>IFERROR(__xludf.DUMMYFUNCTION("""COMPUTED_VALUE"""),42749.1351636569)</f>
        <v>42749.13516</v>
      </c>
      <c r="C1973" s="1" t="str">
        <f>IFERROR(__xludf.DUMMYFUNCTION("""COMPUTED_VALUE"""),"control")</f>
        <v>control</v>
      </c>
      <c r="D1973" s="1" t="str">
        <f>IFERROR(__xludf.DUMMYFUNCTION("""COMPUTED_VALUE"""),"old_page")</f>
        <v>old_page</v>
      </c>
      <c r="E1973" s="1">
        <f>IFERROR(__xludf.DUMMYFUNCTION("""COMPUTED_VALUE"""),0.0)</f>
        <v>0</v>
      </c>
    </row>
    <row r="1974">
      <c r="A1974" s="1">
        <f>IFERROR(__xludf.DUMMYFUNCTION("""COMPUTED_VALUE"""),728239.0)</f>
        <v>728239</v>
      </c>
      <c r="B1974" s="2">
        <f>IFERROR(__xludf.DUMMYFUNCTION("""COMPUTED_VALUE"""),42745.244855400844)</f>
        <v>42745.24486</v>
      </c>
      <c r="C1974" s="1" t="str">
        <f>IFERROR(__xludf.DUMMYFUNCTION("""COMPUTED_VALUE"""),"control")</f>
        <v>control</v>
      </c>
      <c r="D1974" s="1" t="str">
        <f>IFERROR(__xludf.DUMMYFUNCTION("""COMPUTED_VALUE"""),"old_page")</f>
        <v>old_page</v>
      </c>
      <c r="E1974" s="1">
        <f>IFERROR(__xludf.DUMMYFUNCTION("""COMPUTED_VALUE"""),1.0)</f>
        <v>1</v>
      </c>
    </row>
    <row r="1975">
      <c r="A1975" s="1">
        <f>IFERROR(__xludf.DUMMYFUNCTION("""COMPUTED_VALUE"""),830619.0)</f>
        <v>830619</v>
      </c>
      <c r="B1975" s="2">
        <f>IFERROR(__xludf.DUMMYFUNCTION("""COMPUTED_VALUE"""),42744.376346348945)</f>
        <v>42744.37635</v>
      </c>
      <c r="C1975" s="1" t="str">
        <f>IFERROR(__xludf.DUMMYFUNCTION("""COMPUTED_VALUE"""),"control")</f>
        <v>control</v>
      </c>
      <c r="D1975" s="1" t="str">
        <f>IFERROR(__xludf.DUMMYFUNCTION("""COMPUTED_VALUE"""),"old_page")</f>
        <v>old_page</v>
      </c>
      <c r="E1975" s="1">
        <f>IFERROR(__xludf.DUMMYFUNCTION("""COMPUTED_VALUE"""),0.0)</f>
        <v>0</v>
      </c>
    </row>
    <row r="1976">
      <c r="A1976" s="1">
        <f>IFERROR(__xludf.DUMMYFUNCTION("""COMPUTED_VALUE"""),729142.0)</f>
        <v>729142</v>
      </c>
      <c r="B1976" s="2">
        <f>IFERROR(__xludf.DUMMYFUNCTION("""COMPUTED_VALUE"""),42740.07359973943)</f>
        <v>42740.0736</v>
      </c>
      <c r="C1976" s="1" t="str">
        <f>IFERROR(__xludf.DUMMYFUNCTION("""COMPUTED_VALUE"""),"control")</f>
        <v>control</v>
      </c>
      <c r="D1976" s="1" t="str">
        <f>IFERROR(__xludf.DUMMYFUNCTION("""COMPUTED_VALUE"""),"old_page")</f>
        <v>old_page</v>
      </c>
      <c r="E1976" s="1">
        <f>IFERROR(__xludf.DUMMYFUNCTION("""COMPUTED_VALUE"""),0.0)</f>
        <v>0</v>
      </c>
    </row>
    <row r="1977">
      <c r="A1977" s="1">
        <f>IFERROR(__xludf.DUMMYFUNCTION("""COMPUTED_VALUE"""),644401.0)</f>
        <v>644401</v>
      </c>
      <c r="B1977" s="2">
        <f>IFERROR(__xludf.DUMMYFUNCTION("""COMPUTED_VALUE"""),42738.311196126946)</f>
        <v>42738.3112</v>
      </c>
      <c r="C1977" s="1" t="str">
        <f>IFERROR(__xludf.DUMMYFUNCTION("""COMPUTED_VALUE"""),"control")</f>
        <v>control</v>
      </c>
      <c r="D1977" s="1" t="str">
        <f>IFERROR(__xludf.DUMMYFUNCTION("""COMPUTED_VALUE"""),"old_page")</f>
        <v>old_page</v>
      </c>
      <c r="E1977" s="1">
        <f>IFERROR(__xludf.DUMMYFUNCTION("""COMPUTED_VALUE"""),0.0)</f>
        <v>0</v>
      </c>
    </row>
    <row r="1978">
      <c r="A1978" s="1">
        <f>IFERROR(__xludf.DUMMYFUNCTION("""COMPUTED_VALUE"""),854483.0)</f>
        <v>854483</v>
      </c>
      <c r="B1978" s="2">
        <f>IFERROR(__xludf.DUMMYFUNCTION("""COMPUTED_VALUE"""),42758.07464676331)</f>
        <v>42758.07465</v>
      </c>
      <c r="C1978" s="1" t="str">
        <f>IFERROR(__xludf.DUMMYFUNCTION("""COMPUTED_VALUE"""),"treatment")</f>
        <v>treatment</v>
      </c>
      <c r="D1978" s="1" t="str">
        <f>IFERROR(__xludf.DUMMYFUNCTION("""COMPUTED_VALUE"""),"new_page")</f>
        <v>new_page</v>
      </c>
      <c r="E1978" s="1">
        <f>IFERROR(__xludf.DUMMYFUNCTION("""COMPUTED_VALUE"""),0.0)</f>
        <v>0</v>
      </c>
    </row>
    <row r="1979">
      <c r="A1979" s="1">
        <f>IFERROR(__xludf.DUMMYFUNCTION("""COMPUTED_VALUE"""),801924.0)</f>
        <v>801924</v>
      </c>
      <c r="B1979" s="2">
        <f>IFERROR(__xludf.DUMMYFUNCTION("""COMPUTED_VALUE"""),42737.8194223053)</f>
        <v>42737.81942</v>
      </c>
      <c r="C1979" s="1" t="str">
        <f>IFERROR(__xludf.DUMMYFUNCTION("""COMPUTED_VALUE"""),"control")</f>
        <v>control</v>
      </c>
      <c r="D1979" s="1" t="str">
        <f>IFERROR(__xludf.DUMMYFUNCTION("""COMPUTED_VALUE"""),"old_page")</f>
        <v>old_page</v>
      </c>
      <c r="E1979" s="1">
        <f>IFERROR(__xludf.DUMMYFUNCTION("""COMPUTED_VALUE"""),0.0)</f>
        <v>0</v>
      </c>
    </row>
    <row r="1980">
      <c r="A1980" s="1">
        <f>IFERROR(__xludf.DUMMYFUNCTION("""COMPUTED_VALUE"""),760953.0)</f>
        <v>760953</v>
      </c>
      <c r="B1980" s="2">
        <f>IFERROR(__xludf.DUMMYFUNCTION("""COMPUTED_VALUE"""),42756.52388272478)</f>
        <v>42756.52388</v>
      </c>
      <c r="C1980" s="1" t="str">
        <f>IFERROR(__xludf.DUMMYFUNCTION("""COMPUTED_VALUE"""),"control")</f>
        <v>control</v>
      </c>
      <c r="D1980" s="1" t="str">
        <f>IFERROR(__xludf.DUMMYFUNCTION("""COMPUTED_VALUE"""),"old_page")</f>
        <v>old_page</v>
      </c>
      <c r="E1980" s="1">
        <f>IFERROR(__xludf.DUMMYFUNCTION("""COMPUTED_VALUE"""),1.0)</f>
        <v>1</v>
      </c>
    </row>
    <row r="1981">
      <c r="A1981" s="1">
        <f>IFERROR(__xludf.DUMMYFUNCTION("""COMPUTED_VALUE"""),856430.0)</f>
        <v>856430</v>
      </c>
      <c r="B1981" s="2">
        <f>IFERROR(__xludf.DUMMYFUNCTION("""COMPUTED_VALUE"""),42759.250211452025)</f>
        <v>42759.25021</v>
      </c>
      <c r="C1981" s="1" t="str">
        <f>IFERROR(__xludf.DUMMYFUNCTION("""COMPUTED_VALUE"""),"control")</f>
        <v>control</v>
      </c>
      <c r="D1981" s="1" t="str">
        <f>IFERROR(__xludf.DUMMYFUNCTION("""COMPUTED_VALUE"""),"old_page")</f>
        <v>old_page</v>
      </c>
      <c r="E1981" s="1">
        <f>IFERROR(__xludf.DUMMYFUNCTION("""COMPUTED_VALUE"""),0.0)</f>
        <v>0</v>
      </c>
    </row>
    <row r="1982">
      <c r="A1982" s="1">
        <f>IFERROR(__xludf.DUMMYFUNCTION("""COMPUTED_VALUE"""),827090.0)</f>
        <v>827090</v>
      </c>
      <c r="B1982" s="2">
        <f>IFERROR(__xludf.DUMMYFUNCTION("""COMPUTED_VALUE"""),42754.4730861432)</f>
        <v>42754.47309</v>
      </c>
      <c r="C1982" s="1" t="str">
        <f>IFERROR(__xludf.DUMMYFUNCTION("""COMPUTED_VALUE"""),"treatment")</f>
        <v>treatment</v>
      </c>
      <c r="D1982" s="1" t="str">
        <f>IFERROR(__xludf.DUMMYFUNCTION("""COMPUTED_VALUE"""),"new_page")</f>
        <v>new_page</v>
      </c>
      <c r="E1982" s="1">
        <f>IFERROR(__xludf.DUMMYFUNCTION("""COMPUTED_VALUE"""),0.0)</f>
        <v>0</v>
      </c>
    </row>
    <row r="1983">
      <c r="A1983" s="1">
        <f>IFERROR(__xludf.DUMMYFUNCTION("""COMPUTED_VALUE"""),695464.0)</f>
        <v>695464</v>
      </c>
      <c r="B1983" s="2">
        <f>IFERROR(__xludf.DUMMYFUNCTION("""COMPUTED_VALUE"""),42752.769334696895)</f>
        <v>42752.76933</v>
      </c>
      <c r="C1983" s="1" t="str">
        <f>IFERROR(__xludf.DUMMYFUNCTION("""COMPUTED_VALUE"""),"treatment")</f>
        <v>treatment</v>
      </c>
      <c r="D1983" s="1" t="str">
        <f>IFERROR(__xludf.DUMMYFUNCTION("""COMPUTED_VALUE"""),"new_page")</f>
        <v>new_page</v>
      </c>
      <c r="E1983" s="1">
        <f>IFERROR(__xludf.DUMMYFUNCTION("""COMPUTED_VALUE"""),0.0)</f>
        <v>0</v>
      </c>
    </row>
    <row r="1984">
      <c r="A1984" s="1">
        <f>IFERROR(__xludf.DUMMYFUNCTION("""COMPUTED_VALUE"""),728941.0)</f>
        <v>728941</v>
      </c>
      <c r="B1984" s="2">
        <f>IFERROR(__xludf.DUMMYFUNCTION("""COMPUTED_VALUE"""),42741.43778922985)</f>
        <v>42741.43779</v>
      </c>
      <c r="C1984" s="1" t="str">
        <f>IFERROR(__xludf.DUMMYFUNCTION("""COMPUTED_VALUE"""),"treatment")</f>
        <v>treatment</v>
      </c>
      <c r="D1984" s="1" t="str">
        <f>IFERROR(__xludf.DUMMYFUNCTION("""COMPUTED_VALUE"""),"new_page")</f>
        <v>new_page</v>
      </c>
      <c r="E1984" s="1">
        <f>IFERROR(__xludf.DUMMYFUNCTION("""COMPUTED_VALUE"""),0.0)</f>
        <v>0</v>
      </c>
    </row>
    <row r="1985">
      <c r="A1985" s="1">
        <f>IFERROR(__xludf.DUMMYFUNCTION("""COMPUTED_VALUE"""),931777.0)</f>
        <v>931777</v>
      </c>
      <c r="B1985" s="2">
        <f>IFERROR(__xludf.DUMMYFUNCTION("""COMPUTED_VALUE"""),42756.2449896511)</f>
        <v>42756.24499</v>
      </c>
      <c r="C1985" s="1" t="str">
        <f>IFERROR(__xludf.DUMMYFUNCTION("""COMPUTED_VALUE"""),"control")</f>
        <v>control</v>
      </c>
      <c r="D1985" s="1" t="str">
        <f>IFERROR(__xludf.DUMMYFUNCTION("""COMPUTED_VALUE"""),"old_page")</f>
        <v>old_page</v>
      </c>
      <c r="E1985" s="1">
        <f>IFERROR(__xludf.DUMMYFUNCTION("""COMPUTED_VALUE"""),0.0)</f>
        <v>0</v>
      </c>
    </row>
    <row r="1986">
      <c r="A1986" s="1">
        <f>IFERROR(__xludf.DUMMYFUNCTION("""COMPUTED_VALUE"""),657025.0)</f>
        <v>657025</v>
      </c>
      <c r="B1986" s="2">
        <f>IFERROR(__xludf.DUMMYFUNCTION("""COMPUTED_VALUE"""),42738.63596367074)</f>
        <v>42738.63596</v>
      </c>
      <c r="C1986" s="1" t="str">
        <f>IFERROR(__xludf.DUMMYFUNCTION("""COMPUTED_VALUE"""),"treatment")</f>
        <v>treatment</v>
      </c>
      <c r="D1986" s="1" t="str">
        <f>IFERROR(__xludf.DUMMYFUNCTION("""COMPUTED_VALUE"""),"new_page")</f>
        <v>new_page</v>
      </c>
      <c r="E1986" s="1">
        <f>IFERROR(__xludf.DUMMYFUNCTION("""COMPUTED_VALUE"""),0.0)</f>
        <v>0</v>
      </c>
    </row>
    <row r="1987">
      <c r="A1987" s="1">
        <f>IFERROR(__xludf.DUMMYFUNCTION("""COMPUTED_VALUE"""),688937.0)</f>
        <v>688937</v>
      </c>
      <c r="B1987" s="2">
        <f>IFERROR(__xludf.DUMMYFUNCTION("""COMPUTED_VALUE"""),42737.571312580854)</f>
        <v>42737.57131</v>
      </c>
      <c r="C1987" s="1" t="str">
        <f>IFERROR(__xludf.DUMMYFUNCTION("""COMPUTED_VALUE"""),"treatment")</f>
        <v>treatment</v>
      </c>
      <c r="D1987" s="1" t="str">
        <f>IFERROR(__xludf.DUMMYFUNCTION("""COMPUTED_VALUE"""),"new_page")</f>
        <v>new_page</v>
      </c>
      <c r="E1987" s="1">
        <f>IFERROR(__xludf.DUMMYFUNCTION("""COMPUTED_VALUE"""),0.0)</f>
        <v>0</v>
      </c>
    </row>
    <row r="1988">
      <c r="A1988" s="1">
        <f>IFERROR(__xludf.DUMMYFUNCTION("""COMPUTED_VALUE"""),775794.0)</f>
        <v>775794</v>
      </c>
      <c r="B1988" s="2">
        <f>IFERROR(__xludf.DUMMYFUNCTION("""COMPUTED_VALUE"""),42755.38210587229)</f>
        <v>42755.38211</v>
      </c>
      <c r="C1988" s="1" t="str">
        <f>IFERROR(__xludf.DUMMYFUNCTION("""COMPUTED_VALUE"""),"control")</f>
        <v>control</v>
      </c>
      <c r="D1988" s="1" t="str">
        <f>IFERROR(__xludf.DUMMYFUNCTION("""COMPUTED_VALUE"""),"old_page")</f>
        <v>old_page</v>
      </c>
      <c r="E1988" s="1">
        <f>IFERROR(__xludf.DUMMYFUNCTION("""COMPUTED_VALUE"""),0.0)</f>
        <v>0</v>
      </c>
    </row>
    <row r="1989">
      <c r="A1989" s="1">
        <f>IFERROR(__xludf.DUMMYFUNCTION("""COMPUTED_VALUE"""),816852.0)</f>
        <v>816852</v>
      </c>
      <c r="B1989" s="2">
        <f>IFERROR(__xludf.DUMMYFUNCTION("""COMPUTED_VALUE"""),42758.10544944165)</f>
        <v>42758.10545</v>
      </c>
      <c r="C1989" s="1" t="str">
        <f>IFERROR(__xludf.DUMMYFUNCTION("""COMPUTED_VALUE"""),"control")</f>
        <v>control</v>
      </c>
      <c r="D1989" s="1" t="str">
        <f>IFERROR(__xludf.DUMMYFUNCTION("""COMPUTED_VALUE"""),"old_page")</f>
        <v>old_page</v>
      </c>
      <c r="E1989" s="1">
        <f>IFERROR(__xludf.DUMMYFUNCTION("""COMPUTED_VALUE"""),0.0)</f>
        <v>0</v>
      </c>
    </row>
    <row r="1990">
      <c r="A1990" s="1">
        <f>IFERROR(__xludf.DUMMYFUNCTION("""COMPUTED_VALUE"""),811761.0)</f>
        <v>811761</v>
      </c>
      <c r="B1990" s="2">
        <f>IFERROR(__xludf.DUMMYFUNCTION("""COMPUTED_VALUE"""),42745.41148580931)</f>
        <v>42745.41149</v>
      </c>
      <c r="C1990" s="1" t="str">
        <f>IFERROR(__xludf.DUMMYFUNCTION("""COMPUTED_VALUE"""),"treatment")</f>
        <v>treatment</v>
      </c>
      <c r="D1990" s="1" t="str">
        <f>IFERROR(__xludf.DUMMYFUNCTION("""COMPUTED_VALUE"""),"new_page")</f>
        <v>new_page</v>
      </c>
      <c r="E1990" s="1">
        <f>IFERROR(__xludf.DUMMYFUNCTION("""COMPUTED_VALUE"""),0.0)</f>
        <v>0</v>
      </c>
    </row>
    <row r="1991">
      <c r="A1991" s="1">
        <f>IFERROR(__xludf.DUMMYFUNCTION("""COMPUTED_VALUE"""),651283.0)</f>
        <v>651283</v>
      </c>
      <c r="B1991" s="2">
        <f>IFERROR(__xludf.DUMMYFUNCTION("""COMPUTED_VALUE"""),42758.574955309945)</f>
        <v>42758.57496</v>
      </c>
      <c r="C1991" s="1" t="str">
        <f>IFERROR(__xludf.DUMMYFUNCTION("""COMPUTED_VALUE"""),"treatment")</f>
        <v>treatment</v>
      </c>
      <c r="D1991" s="1" t="str">
        <f>IFERROR(__xludf.DUMMYFUNCTION("""COMPUTED_VALUE"""),"new_page")</f>
        <v>new_page</v>
      </c>
      <c r="E1991" s="1">
        <f>IFERROR(__xludf.DUMMYFUNCTION("""COMPUTED_VALUE"""),0.0)</f>
        <v>0</v>
      </c>
    </row>
    <row r="1992">
      <c r="A1992" s="1">
        <f>IFERROR(__xludf.DUMMYFUNCTION("""COMPUTED_VALUE"""),662281.0)</f>
        <v>662281</v>
      </c>
      <c r="B1992" s="2">
        <f>IFERROR(__xludf.DUMMYFUNCTION("""COMPUTED_VALUE"""),42749.81868251217)</f>
        <v>42749.81868</v>
      </c>
      <c r="C1992" s="1" t="str">
        <f>IFERROR(__xludf.DUMMYFUNCTION("""COMPUTED_VALUE"""),"control")</f>
        <v>control</v>
      </c>
      <c r="D1992" s="1" t="str">
        <f>IFERROR(__xludf.DUMMYFUNCTION("""COMPUTED_VALUE"""),"old_page")</f>
        <v>old_page</v>
      </c>
      <c r="E1992" s="1">
        <f>IFERROR(__xludf.DUMMYFUNCTION("""COMPUTED_VALUE"""),0.0)</f>
        <v>0</v>
      </c>
    </row>
    <row r="1993">
      <c r="A1993" s="1">
        <f>IFERROR(__xludf.DUMMYFUNCTION("""COMPUTED_VALUE"""),890886.0)</f>
        <v>890886</v>
      </c>
      <c r="B1993" s="2">
        <f>IFERROR(__xludf.DUMMYFUNCTION("""COMPUTED_VALUE"""),42753.34460312429)</f>
        <v>42753.3446</v>
      </c>
      <c r="C1993" s="1" t="str">
        <f>IFERROR(__xludf.DUMMYFUNCTION("""COMPUTED_VALUE"""),"treatment")</f>
        <v>treatment</v>
      </c>
      <c r="D1993" s="1" t="str">
        <f>IFERROR(__xludf.DUMMYFUNCTION("""COMPUTED_VALUE"""),"new_page")</f>
        <v>new_page</v>
      </c>
      <c r="E1993" s="1">
        <f>IFERROR(__xludf.DUMMYFUNCTION("""COMPUTED_VALUE"""),0.0)</f>
        <v>0</v>
      </c>
    </row>
    <row r="1994">
      <c r="A1994" s="1">
        <f>IFERROR(__xludf.DUMMYFUNCTION("""COMPUTED_VALUE"""),637101.0)</f>
        <v>637101</v>
      </c>
      <c r="B1994" s="2">
        <f>IFERROR(__xludf.DUMMYFUNCTION("""COMPUTED_VALUE"""),42744.67085507031)</f>
        <v>42744.67086</v>
      </c>
      <c r="C1994" s="1" t="str">
        <f>IFERROR(__xludf.DUMMYFUNCTION("""COMPUTED_VALUE"""),"treatment")</f>
        <v>treatment</v>
      </c>
      <c r="D1994" s="1" t="str">
        <f>IFERROR(__xludf.DUMMYFUNCTION("""COMPUTED_VALUE"""),"new_page")</f>
        <v>new_page</v>
      </c>
      <c r="E1994" s="1">
        <f>IFERROR(__xludf.DUMMYFUNCTION("""COMPUTED_VALUE"""),0.0)</f>
        <v>0</v>
      </c>
    </row>
    <row r="1995">
      <c r="A1995" s="1">
        <f>IFERROR(__xludf.DUMMYFUNCTION("""COMPUTED_VALUE"""),852915.0)</f>
        <v>852915</v>
      </c>
      <c r="B1995" s="2">
        <f>IFERROR(__xludf.DUMMYFUNCTION("""COMPUTED_VALUE"""),42740.748251623394)</f>
        <v>42740.74825</v>
      </c>
      <c r="C1995" s="1" t="str">
        <f>IFERROR(__xludf.DUMMYFUNCTION("""COMPUTED_VALUE"""),"control")</f>
        <v>control</v>
      </c>
      <c r="D1995" s="1" t="str">
        <f>IFERROR(__xludf.DUMMYFUNCTION("""COMPUTED_VALUE"""),"old_page")</f>
        <v>old_page</v>
      </c>
      <c r="E1995" s="1">
        <f>IFERROR(__xludf.DUMMYFUNCTION("""COMPUTED_VALUE"""),0.0)</f>
        <v>0</v>
      </c>
    </row>
    <row r="1996">
      <c r="A1996" s="1">
        <f>IFERROR(__xludf.DUMMYFUNCTION("""COMPUTED_VALUE"""),679219.0)</f>
        <v>679219</v>
      </c>
      <c r="B1996" s="2">
        <f>IFERROR(__xludf.DUMMYFUNCTION("""COMPUTED_VALUE"""),42752.81685022228)</f>
        <v>42752.81685</v>
      </c>
      <c r="C1996" s="1" t="str">
        <f>IFERROR(__xludf.DUMMYFUNCTION("""COMPUTED_VALUE"""),"treatment")</f>
        <v>treatment</v>
      </c>
      <c r="D1996" s="1" t="str">
        <f>IFERROR(__xludf.DUMMYFUNCTION("""COMPUTED_VALUE"""),"new_page")</f>
        <v>new_page</v>
      </c>
      <c r="E1996" s="1">
        <f>IFERROR(__xludf.DUMMYFUNCTION("""COMPUTED_VALUE"""),0.0)</f>
        <v>0</v>
      </c>
    </row>
    <row r="1997">
      <c r="A1997" s="1">
        <f>IFERROR(__xludf.DUMMYFUNCTION("""COMPUTED_VALUE"""),897131.0)</f>
        <v>897131</v>
      </c>
      <c r="B1997" s="2">
        <f>IFERROR(__xludf.DUMMYFUNCTION("""COMPUTED_VALUE"""),42738.69322043405)</f>
        <v>42738.69322</v>
      </c>
      <c r="C1997" s="1" t="str">
        <f>IFERROR(__xludf.DUMMYFUNCTION("""COMPUTED_VALUE"""),"control")</f>
        <v>control</v>
      </c>
      <c r="D1997" s="1" t="str">
        <f>IFERROR(__xludf.DUMMYFUNCTION("""COMPUTED_VALUE"""),"old_page")</f>
        <v>old_page</v>
      </c>
      <c r="E1997" s="1">
        <f>IFERROR(__xludf.DUMMYFUNCTION("""COMPUTED_VALUE"""),0.0)</f>
        <v>0</v>
      </c>
    </row>
    <row r="1998">
      <c r="A1998" s="1">
        <f>IFERROR(__xludf.DUMMYFUNCTION("""COMPUTED_VALUE"""),770867.0)</f>
        <v>770867</v>
      </c>
      <c r="B1998" s="2">
        <f>IFERROR(__xludf.DUMMYFUNCTION("""COMPUTED_VALUE"""),42756.56805024411)</f>
        <v>42756.56805</v>
      </c>
      <c r="C1998" s="1" t="str">
        <f>IFERROR(__xludf.DUMMYFUNCTION("""COMPUTED_VALUE"""),"control")</f>
        <v>control</v>
      </c>
      <c r="D1998" s="1" t="str">
        <f>IFERROR(__xludf.DUMMYFUNCTION("""COMPUTED_VALUE"""),"old_page")</f>
        <v>old_page</v>
      </c>
      <c r="E1998" s="1">
        <f>IFERROR(__xludf.DUMMYFUNCTION("""COMPUTED_VALUE"""),0.0)</f>
        <v>0</v>
      </c>
    </row>
    <row r="1999">
      <c r="A1999" s="1">
        <f>IFERROR(__xludf.DUMMYFUNCTION("""COMPUTED_VALUE"""),921694.0)</f>
        <v>921694</v>
      </c>
      <c r="B1999" s="2">
        <f>IFERROR(__xludf.DUMMYFUNCTION("""COMPUTED_VALUE"""),42741.09405101536)</f>
        <v>42741.09405</v>
      </c>
      <c r="C1999" s="1" t="str">
        <f>IFERROR(__xludf.DUMMYFUNCTION("""COMPUTED_VALUE"""),"control")</f>
        <v>control</v>
      </c>
      <c r="D1999" s="1" t="str">
        <f>IFERROR(__xludf.DUMMYFUNCTION("""COMPUTED_VALUE"""),"old_page")</f>
        <v>old_page</v>
      </c>
      <c r="E1999" s="1">
        <f>IFERROR(__xludf.DUMMYFUNCTION("""COMPUTED_VALUE"""),1.0)</f>
        <v>1</v>
      </c>
    </row>
    <row r="2000">
      <c r="A2000" s="1">
        <f>IFERROR(__xludf.DUMMYFUNCTION("""COMPUTED_VALUE"""),777700.0)</f>
        <v>777700</v>
      </c>
      <c r="B2000" s="2">
        <f>IFERROR(__xludf.DUMMYFUNCTION("""COMPUTED_VALUE"""),42748.277846061166)</f>
        <v>42748.27785</v>
      </c>
      <c r="C2000" s="1" t="str">
        <f>IFERROR(__xludf.DUMMYFUNCTION("""COMPUTED_VALUE"""),"treatment")</f>
        <v>treatment</v>
      </c>
      <c r="D2000" s="1" t="str">
        <f>IFERROR(__xludf.DUMMYFUNCTION("""COMPUTED_VALUE"""),"new_page")</f>
        <v>new_page</v>
      </c>
      <c r="E2000" s="1">
        <f>IFERROR(__xludf.DUMMYFUNCTION("""COMPUTED_VALUE"""),0.0)</f>
        <v>0</v>
      </c>
    </row>
    <row r="2001">
      <c r="A2001" s="1">
        <f>IFERROR(__xludf.DUMMYFUNCTION("""COMPUTED_VALUE"""),809441.0)</f>
        <v>809441</v>
      </c>
      <c r="B2001" s="2">
        <f>IFERROR(__xludf.DUMMYFUNCTION("""COMPUTED_VALUE"""),42747.58097241665)</f>
        <v>42747.58097</v>
      </c>
      <c r="C2001" s="1" t="str">
        <f>IFERROR(__xludf.DUMMYFUNCTION("""COMPUTED_VALUE"""),"control")</f>
        <v>control</v>
      </c>
      <c r="D2001" s="1" t="str">
        <f>IFERROR(__xludf.DUMMYFUNCTION("""COMPUTED_VALUE"""),"old_page")</f>
        <v>old_page</v>
      </c>
      <c r="E2001" s="1">
        <f>IFERROR(__xludf.DUMMYFUNCTION("""COMPUTED_VALUE"""),0.0)</f>
        <v>0</v>
      </c>
    </row>
    <row r="2002">
      <c r="A2002" s="1">
        <f>IFERROR(__xludf.DUMMYFUNCTION("""COMPUTED_VALUE"""),832426.0)</f>
        <v>832426</v>
      </c>
      <c r="B2002" s="2">
        <f>IFERROR(__xludf.DUMMYFUNCTION("""COMPUTED_VALUE"""),42748.53567220084)</f>
        <v>42748.53567</v>
      </c>
      <c r="C2002" s="1" t="str">
        <f>IFERROR(__xludf.DUMMYFUNCTION("""COMPUTED_VALUE"""),"control")</f>
        <v>control</v>
      </c>
      <c r="D2002" s="1" t="str">
        <f>IFERROR(__xludf.DUMMYFUNCTION("""COMPUTED_VALUE"""),"old_page")</f>
        <v>old_page</v>
      </c>
      <c r="E2002" s="1">
        <f>IFERROR(__xludf.DUMMYFUNCTION("""COMPUTED_VALUE"""),0.0)</f>
        <v>0</v>
      </c>
    </row>
    <row r="2003">
      <c r="A2003" s="1">
        <f>IFERROR(__xludf.DUMMYFUNCTION("""COMPUTED_VALUE"""),676790.0)</f>
        <v>676790</v>
      </c>
      <c r="B2003" s="2">
        <f>IFERROR(__xludf.DUMMYFUNCTION("""COMPUTED_VALUE"""),42739.56594169222)</f>
        <v>42739.56594</v>
      </c>
      <c r="C2003" s="1" t="str">
        <f>IFERROR(__xludf.DUMMYFUNCTION("""COMPUTED_VALUE"""),"control")</f>
        <v>control</v>
      </c>
      <c r="D2003" s="1" t="str">
        <f>IFERROR(__xludf.DUMMYFUNCTION("""COMPUTED_VALUE"""),"old_page")</f>
        <v>old_page</v>
      </c>
      <c r="E2003" s="1">
        <f>IFERROR(__xludf.DUMMYFUNCTION("""COMPUTED_VALUE"""),0.0)</f>
        <v>0</v>
      </c>
    </row>
    <row r="2004">
      <c r="A2004" s="1">
        <f>IFERROR(__xludf.DUMMYFUNCTION("""COMPUTED_VALUE"""),870227.0)</f>
        <v>870227</v>
      </c>
      <c r="B2004" s="2">
        <f>IFERROR(__xludf.DUMMYFUNCTION("""COMPUTED_VALUE"""),42752.496897786965)</f>
        <v>42752.4969</v>
      </c>
      <c r="C2004" s="1" t="str">
        <f>IFERROR(__xludf.DUMMYFUNCTION("""COMPUTED_VALUE"""),"treatment")</f>
        <v>treatment</v>
      </c>
      <c r="D2004" s="1" t="str">
        <f>IFERROR(__xludf.DUMMYFUNCTION("""COMPUTED_VALUE"""),"new_page")</f>
        <v>new_page</v>
      </c>
      <c r="E2004" s="1">
        <f>IFERROR(__xludf.DUMMYFUNCTION("""COMPUTED_VALUE"""),0.0)</f>
        <v>0</v>
      </c>
    </row>
    <row r="2005">
      <c r="A2005" s="1">
        <f>IFERROR(__xludf.DUMMYFUNCTION("""COMPUTED_VALUE"""),837442.0)</f>
        <v>837442</v>
      </c>
      <c r="B2005" s="2">
        <f>IFERROR(__xludf.DUMMYFUNCTION("""COMPUTED_VALUE"""),42739.38855954742)</f>
        <v>42739.38856</v>
      </c>
      <c r="C2005" s="1" t="str">
        <f>IFERROR(__xludf.DUMMYFUNCTION("""COMPUTED_VALUE"""),"treatment")</f>
        <v>treatment</v>
      </c>
      <c r="D2005" s="1" t="str">
        <f>IFERROR(__xludf.DUMMYFUNCTION("""COMPUTED_VALUE"""),"new_page")</f>
        <v>new_page</v>
      </c>
      <c r="E2005" s="1">
        <f>IFERROR(__xludf.DUMMYFUNCTION("""COMPUTED_VALUE"""),0.0)</f>
        <v>0</v>
      </c>
    </row>
    <row r="2006">
      <c r="A2006" s="1">
        <f>IFERROR(__xludf.DUMMYFUNCTION("""COMPUTED_VALUE"""),674610.0)</f>
        <v>674610</v>
      </c>
      <c r="B2006" s="2">
        <f>IFERROR(__xludf.DUMMYFUNCTION("""COMPUTED_VALUE"""),42745.489305490686)</f>
        <v>42745.48931</v>
      </c>
      <c r="C2006" s="1" t="str">
        <f>IFERROR(__xludf.DUMMYFUNCTION("""COMPUTED_VALUE"""),"control")</f>
        <v>control</v>
      </c>
      <c r="D2006" s="1" t="str">
        <f>IFERROR(__xludf.DUMMYFUNCTION("""COMPUTED_VALUE"""),"old_page")</f>
        <v>old_page</v>
      </c>
      <c r="E2006" s="1">
        <f>IFERROR(__xludf.DUMMYFUNCTION("""COMPUTED_VALUE"""),0.0)</f>
        <v>0</v>
      </c>
    </row>
    <row r="2007">
      <c r="A2007" s="1">
        <f>IFERROR(__xludf.DUMMYFUNCTION("""COMPUTED_VALUE"""),929303.0)</f>
        <v>929303</v>
      </c>
      <c r="B2007" s="2">
        <f>IFERROR(__xludf.DUMMYFUNCTION("""COMPUTED_VALUE"""),42746.85878058721)</f>
        <v>42746.85878</v>
      </c>
      <c r="C2007" s="1" t="str">
        <f>IFERROR(__xludf.DUMMYFUNCTION("""COMPUTED_VALUE"""),"control")</f>
        <v>control</v>
      </c>
      <c r="D2007" s="1" t="str">
        <f>IFERROR(__xludf.DUMMYFUNCTION("""COMPUTED_VALUE"""),"old_page")</f>
        <v>old_page</v>
      </c>
      <c r="E2007" s="1">
        <f>IFERROR(__xludf.DUMMYFUNCTION("""COMPUTED_VALUE"""),1.0)</f>
        <v>1</v>
      </c>
    </row>
    <row r="2008">
      <c r="A2008" s="1">
        <f>IFERROR(__xludf.DUMMYFUNCTION("""COMPUTED_VALUE"""),768961.0)</f>
        <v>768961</v>
      </c>
      <c r="B2008" s="2">
        <f>IFERROR(__xludf.DUMMYFUNCTION("""COMPUTED_VALUE"""),42756.17469842092)</f>
        <v>42756.1747</v>
      </c>
      <c r="C2008" s="1" t="str">
        <f>IFERROR(__xludf.DUMMYFUNCTION("""COMPUTED_VALUE"""),"treatment")</f>
        <v>treatment</v>
      </c>
      <c r="D2008" s="1" t="str">
        <f>IFERROR(__xludf.DUMMYFUNCTION("""COMPUTED_VALUE"""),"new_page")</f>
        <v>new_page</v>
      </c>
      <c r="E2008" s="1">
        <f>IFERROR(__xludf.DUMMYFUNCTION("""COMPUTED_VALUE"""),1.0)</f>
        <v>1</v>
      </c>
    </row>
    <row r="2009">
      <c r="A2009" s="1">
        <f>IFERROR(__xludf.DUMMYFUNCTION("""COMPUTED_VALUE"""),645801.0)</f>
        <v>645801</v>
      </c>
      <c r="B2009" s="2">
        <f>IFERROR(__xludf.DUMMYFUNCTION("""COMPUTED_VALUE"""),42740.81379880649)</f>
        <v>42740.8138</v>
      </c>
      <c r="C2009" s="1" t="str">
        <f>IFERROR(__xludf.DUMMYFUNCTION("""COMPUTED_VALUE"""),"treatment")</f>
        <v>treatment</v>
      </c>
      <c r="D2009" s="1" t="str">
        <f>IFERROR(__xludf.DUMMYFUNCTION("""COMPUTED_VALUE"""),"new_page")</f>
        <v>new_page</v>
      </c>
      <c r="E2009" s="1">
        <f>IFERROR(__xludf.DUMMYFUNCTION("""COMPUTED_VALUE"""),0.0)</f>
        <v>0</v>
      </c>
    </row>
    <row r="2010">
      <c r="A2010" s="1">
        <f>IFERROR(__xludf.DUMMYFUNCTION("""COMPUTED_VALUE"""),672606.0)</f>
        <v>672606</v>
      </c>
      <c r="B2010" s="2">
        <f>IFERROR(__xludf.DUMMYFUNCTION("""COMPUTED_VALUE"""),42746.57520419254)</f>
        <v>42746.5752</v>
      </c>
      <c r="C2010" s="1" t="str">
        <f>IFERROR(__xludf.DUMMYFUNCTION("""COMPUTED_VALUE"""),"control")</f>
        <v>control</v>
      </c>
      <c r="D2010" s="1" t="str">
        <f>IFERROR(__xludf.DUMMYFUNCTION("""COMPUTED_VALUE"""),"old_page")</f>
        <v>old_page</v>
      </c>
      <c r="E2010" s="1">
        <f>IFERROR(__xludf.DUMMYFUNCTION("""COMPUTED_VALUE"""),0.0)</f>
        <v>0</v>
      </c>
    </row>
    <row r="2011">
      <c r="A2011" s="1">
        <f>IFERROR(__xludf.DUMMYFUNCTION("""COMPUTED_VALUE"""),678463.0)</f>
        <v>678463</v>
      </c>
      <c r="B2011" s="2">
        <f>IFERROR(__xludf.DUMMYFUNCTION("""COMPUTED_VALUE"""),42753.10465340845)</f>
        <v>42753.10465</v>
      </c>
      <c r="C2011" s="1" t="str">
        <f>IFERROR(__xludf.DUMMYFUNCTION("""COMPUTED_VALUE"""),"treatment")</f>
        <v>treatment</v>
      </c>
      <c r="D2011" s="1" t="str">
        <f>IFERROR(__xludf.DUMMYFUNCTION("""COMPUTED_VALUE"""),"new_page")</f>
        <v>new_page</v>
      </c>
      <c r="E2011" s="1">
        <f>IFERROR(__xludf.DUMMYFUNCTION("""COMPUTED_VALUE"""),0.0)</f>
        <v>0</v>
      </c>
    </row>
    <row r="2012">
      <c r="A2012" s="1">
        <f>IFERROR(__xludf.DUMMYFUNCTION("""COMPUTED_VALUE"""),849326.0)</f>
        <v>849326</v>
      </c>
      <c r="B2012" s="2">
        <f>IFERROR(__xludf.DUMMYFUNCTION("""COMPUTED_VALUE"""),42756.867194577804)</f>
        <v>42756.86719</v>
      </c>
      <c r="C2012" s="1" t="str">
        <f>IFERROR(__xludf.DUMMYFUNCTION("""COMPUTED_VALUE"""),"control")</f>
        <v>control</v>
      </c>
      <c r="D2012" s="1" t="str">
        <f>IFERROR(__xludf.DUMMYFUNCTION("""COMPUTED_VALUE"""),"old_page")</f>
        <v>old_page</v>
      </c>
      <c r="E2012" s="1">
        <f>IFERROR(__xludf.DUMMYFUNCTION("""COMPUTED_VALUE"""),0.0)</f>
        <v>0</v>
      </c>
    </row>
    <row r="2013">
      <c r="A2013" s="1">
        <f>IFERROR(__xludf.DUMMYFUNCTION("""COMPUTED_VALUE"""),752747.0)</f>
        <v>752747</v>
      </c>
      <c r="B2013" s="2">
        <f>IFERROR(__xludf.DUMMYFUNCTION("""COMPUTED_VALUE"""),42740.91478250365)</f>
        <v>42740.91478</v>
      </c>
      <c r="C2013" s="1" t="str">
        <f>IFERROR(__xludf.DUMMYFUNCTION("""COMPUTED_VALUE"""),"control")</f>
        <v>control</v>
      </c>
      <c r="D2013" s="1" t="str">
        <f>IFERROR(__xludf.DUMMYFUNCTION("""COMPUTED_VALUE"""),"old_page")</f>
        <v>old_page</v>
      </c>
      <c r="E2013" s="1">
        <f>IFERROR(__xludf.DUMMYFUNCTION("""COMPUTED_VALUE"""),0.0)</f>
        <v>0</v>
      </c>
    </row>
    <row r="2014">
      <c r="A2014" s="1">
        <f>IFERROR(__xludf.DUMMYFUNCTION("""COMPUTED_VALUE"""),787723.0)</f>
        <v>787723</v>
      </c>
      <c r="B2014" s="2">
        <f>IFERROR(__xludf.DUMMYFUNCTION("""COMPUTED_VALUE"""),42756.14393504865)</f>
        <v>42756.14394</v>
      </c>
      <c r="C2014" s="1" t="str">
        <f>IFERROR(__xludf.DUMMYFUNCTION("""COMPUTED_VALUE"""),"control")</f>
        <v>control</v>
      </c>
      <c r="D2014" s="1" t="str">
        <f>IFERROR(__xludf.DUMMYFUNCTION("""COMPUTED_VALUE"""),"old_page")</f>
        <v>old_page</v>
      </c>
      <c r="E2014" s="1">
        <f>IFERROR(__xludf.DUMMYFUNCTION("""COMPUTED_VALUE"""),0.0)</f>
        <v>0</v>
      </c>
    </row>
    <row r="2015">
      <c r="A2015" s="1">
        <f>IFERROR(__xludf.DUMMYFUNCTION("""COMPUTED_VALUE"""),643777.0)</f>
        <v>643777</v>
      </c>
      <c r="B2015" s="2">
        <f>IFERROR(__xludf.DUMMYFUNCTION("""COMPUTED_VALUE"""),42740.780795927196)</f>
        <v>42740.7808</v>
      </c>
      <c r="C2015" s="1" t="str">
        <f>IFERROR(__xludf.DUMMYFUNCTION("""COMPUTED_VALUE"""),"treatment")</f>
        <v>treatment</v>
      </c>
      <c r="D2015" s="1" t="str">
        <f>IFERROR(__xludf.DUMMYFUNCTION("""COMPUTED_VALUE"""),"new_page")</f>
        <v>new_page</v>
      </c>
      <c r="E2015" s="1">
        <f>IFERROR(__xludf.DUMMYFUNCTION("""COMPUTED_VALUE"""),0.0)</f>
        <v>0</v>
      </c>
    </row>
    <row r="2016">
      <c r="A2016" s="1">
        <f>IFERROR(__xludf.DUMMYFUNCTION("""COMPUTED_VALUE"""),641742.0)</f>
        <v>641742</v>
      </c>
      <c r="B2016" s="2">
        <f>IFERROR(__xludf.DUMMYFUNCTION("""COMPUTED_VALUE"""),42756.86416388234)</f>
        <v>42756.86416</v>
      </c>
      <c r="C2016" s="1" t="str">
        <f>IFERROR(__xludf.DUMMYFUNCTION("""COMPUTED_VALUE"""),"control")</f>
        <v>control</v>
      </c>
      <c r="D2016" s="1" t="str">
        <f>IFERROR(__xludf.DUMMYFUNCTION("""COMPUTED_VALUE"""),"old_page")</f>
        <v>old_page</v>
      </c>
      <c r="E2016" s="1">
        <f>IFERROR(__xludf.DUMMYFUNCTION("""COMPUTED_VALUE"""),0.0)</f>
        <v>0</v>
      </c>
    </row>
    <row r="2017">
      <c r="A2017" s="1">
        <f>IFERROR(__xludf.DUMMYFUNCTION("""COMPUTED_VALUE"""),674429.0)</f>
        <v>674429</v>
      </c>
      <c r="B2017" s="2">
        <f>IFERROR(__xludf.DUMMYFUNCTION("""COMPUTED_VALUE"""),42755.449783901444)</f>
        <v>42755.44978</v>
      </c>
      <c r="C2017" s="1" t="str">
        <f>IFERROR(__xludf.DUMMYFUNCTION("""COMPUTED_VALUE"""),"treatment")</f>
        <v>treatment</v>
      </c>
      <c r="D2017" s="1" t="str">
        <f>IFERROR(__xludf.DUMMYFUNCTION("""COMPUTED_VALUE"""),"new_page")</f>
        <v>new_page</v>
      </c>
      <c r="E2017" s="1">
        <f>IFERROR(__xludf.DUMMYFUNCTION("""COMPUTED_VALUE"""),0.0)</f>
        <v>0</v>
      </c>
    </row>
    <row r="2018">
      <c r="A2018" s="1">
        <f>IFERROR(__xludf.DUMMYFUNCTION("""COMPUTED_VALUE"""),876618.0)</f>
        <v>876618</v>
      </c>
      <c r="B2018" s="2">
        <f>IFERROR(__xludf.DUMMYFUNCTION("""COMPUTED_VALUE"""),42741.07122502553)</f>
        <v>42741.07123</v>
      </c>
      <c r="C2018" s="1" t="str">
        <f>IFERROR(__xludf.DUMMYFUNCTION("""COMPUTED_VALUE"""),"treatment")</f>
        <v>treatment</v>
      </c>
      <c r="D2018" s="1" t="str">
        <f>IFERROR(__xludf.DUMMYFUNCTION("""COMPUTED_VALUE"""),"new_page")</f>
        <v>new_page</v>
      </c>
      <c r="E2018" s="1">
        <f>IFERROR(__xludf.DUMMYFUNCTION("""COMPUTED_VALUE"""),0.0)</f>
        <v>0</v>
      </c>
    </row>
    <row r="2019">
      <c r="A2019" s="1">
        <f>IFERROR(__xludf.DUMMYFUNCTION("""COMPUTED_VALUE"""),691821.0)</f>
        <v>691821</v>
      </c>
      <c r="B2019" s="2">
        <f>IFERROR(__xludf.DUMMYFUNCTION("""COMPUTED_VALUE"""),42744.0970538533)</f>
        <v>42744.09705</v>
      </c>
      <c r="C2019" s="1" t="str">
        <f>IFERROR(__xludf.DUMMYFUNCTION("""COMPUTED_VALUE"""),"treatment")</f>
        <v>treatment</v>
      </c>
      <c r="D2019" s="1" t="str">
        <f>IFERROR(__xludf.DUMMYFUNCTION("""COMPUTED_VALUE"""),"new_page")</f>
        <v>new_page</v>
      </c>
      <c r="E2019" s="1">
        <f>IFERROR(__xludf.DUMMYFUNCTION("""COMPUTED_VALUE"""),0.0)</f>
        <v>0</v>
      </c>
    </row>
    <row r="2020">
      <c r="A2020" s="1">
        <f>IFERROR(__xludf.DUMMYFUNCTION("""COMPUTED_VALUE"""),733635.0)</f>
        <v>733635</v>
      </c>
      <c r="B2020" s="2">
        <f>IFERROR(__xludf.DUMMYFUNCTION("""COMPUTED_VALUE"""),42753.91621820514)</f>
        <v>42753.91622</v>
      </c>
      <c r="C2020" s="1" t="str">
        <f>IFERROR(__xludf.DUMMYFUNCTION("""COMPUTED_VALUE"""),"treatment")</f>
        <v>treatment</v>
      </c>
      <c r="D2020" s="1" t="str">
        <f>IFERROR(__xludf.DUMMYFUNCTION("""COMPUTED_VALUE"""),"new_page")</f>
        <v>new_page</v>
      </c>
      <c r="E2020" s="1">
        <f>IFERROR(__xludf.DUMMYFUNCTION("""COMPUTED_VALUE"""),0.0)</f>
        <v>0</v>
      </c>
    </row>
    <row r="2021">
      <c r="A2021" s="1">
        <f>IFERROR(__xludf.DUMMYFUNCTION("""COMPUTED_VALUE"""),673329.0)</f>
        <v>673329</v>
      </c>
      <c r="B2021" s="2">
        <f>IFERROR(__xludf.DUMMYFUNCTION("""COMPUTED_VALUE"""),42739.61709803198)</f>
        <v>42739.6171</v>
      </c>
      <c r="C2021" s="1" t="str">
        <f>IFERROR(__xludf.DUMMYFUNCTION("""COMPUTED_VALUE"""),"treatment")</f>
        <v>treatment</v>
      </c>
      <c r="D2021" s="1" t="str">
        <f>IFERROR(__xludf.DUMMYFUNCTION("""COMPUTED_VALUE"""),"new_page")</f>
        <v>new_page</v>
      </c>
      <c r="E2021" s="1">
        <f>IFERROR(__xludf.DUMMYFUNCTION("""COMPUTED_VALUE"""),0.0)</f>
        <v>0</v>
      </c>
    </row>
    <row r="2022">
      <c r="A2022" s="1">
        <f>IFERROR(__xludf.DUMMYFUNCTION("""COMPUTED_VALUE"""),850932.0)</f>
        <v>850932</v>
      </c>
      <c r="B2022" s="2">
        <f>IFERROR(__xludf.DUMMYFUNCTION("""COMPUTED_VALUE"""),42757.111018354284)</f>
        <v>42757.11102</v>
      </c>
      <c r="C2022" s="1" t="str">
        <f>IFERROR(__xludf.DUMMYFUNCTION("""COMPUTED_VALUE"""),"control")</f>
        <v>control</v>
      </c>
      <c r="D2022" s="1" t="str">
        <f>IFERROR(__xludf.DUMMYFUNCTION("""COMPUTED_VALUE"""),"old_page")</f>
        <v>old_page</v>
      </c>
      <c r="E2022" s="1">
        <f>IFERROR(__xludf.DUMMYFUNCTION("""COMPUTED_VALUE"""),0.0)</f>
        <v>0</v>
      </c>
    </row>
    <row r="2023">
      <c r="A2023" s="1">
        <f>IFERROR(__xludf.DUMMYFUNCTION("""COMPUTED_VALUE"""),704927.0)</f>
        <v>704927</v>
      </c>
      <c r="B2023" s="2">
        <f>IFERROR(__xludf.DUMMYFUNCTION("""COMPUTED_VALUE"""),42751.614203114514)</f>
        <v>42751.6142</v>
      </c>
      <c r="C2023" s="1" t="str">
        <f>IFERROR(__xludf.DUMMYFUNCTION("""COMPUTED_VALUE"""),"control")</f>
        <v>control</v>
      </c>
      <c r="D2023" s="1" t="str">
        <f>IFERROR(__xludf.DUMMYFUNCTION("""COMPUTED_VALUE"""),"old_page")</f>
        <v>old_page</v>
      </c>
      <c r="E2023" s="1">
        <f>IFERROR(__xludf.DUMMYFUNCTION("""COMPUTED_VALUE"""),0.0)</f>
        <v>0</v>
      </c>
    </row>
    <row r="2024">
      <c r="A2024" s="1">
        <f>IFERROR(__xludf.DUMMYFUNCTION("""COMPUTED_VALUE"""),669329.0)</f>
        <v>669329</v>
      </c>
      <c r="B2024" s="2">
        <f>IFERROR(__xludf.DUMMYFUNCTION("""COMPUTED_VALUE"""),42743.73931707008)</f>
        <v>42743.73932</v>
      </c>
      <c r="C2024" s="1" t="str">
        <f>IFERROR(__xludf.DUMMYFUNCTION("""COMPUTED_VALUE"""),"control")</f>
        <v>control</v>
      </c>
      <c r="D2024" s="1" t="str">
        <f>IFERROR(__xludf.DUMMYFUNCTION("""COMPUTED_VALUE"""),"old_page")</f>
        <v>old_page</v>
      </c>
      <c r="E2024" s="1">
        <f>IFERROR(__xludf.DUMMYFUNCTION("""COMPUTED_VALUE"""),0.0)</f>
        <v>0</v>
      </c>
    </row>
    <row r="2025">
      <c r="A2025" s="1">
        <f>IFERROR(__xludf.DUMMYFUNCTION("""COMPUTED_VALUE"""),937692.0)</f>
        <v>937692</v>
      </c>
      <c r="B2025" s="2">
        <f>IFERROR(__xludf.DUMMYFUNCTION("""COMPUTED_VALUE"""),42754.062300219986)</f>
        <v>42754.0623</v>
      </c>
      <c r="C2025" s="1" t="str">
        <f>IFERROR(__xludf.DUMMYFUNCTION("""COMPUTED_VALUE"""),"control")</f>
        <v>control</v>
      </c>
      <c r="D2025" s="1" t="str">
        <f>IFERROR(__xludf.DUMMYFUNCTION("""COMPUTED_VALUE"""),"new_page")</f>
        <v>new_page</v>
      </c>
      <c r="E2025" s="1">
        <f>IFERROR(__xludf.DUMMYFUNCTION("""COMPUTED_VALUE"""),0.0)</f>
        <v>0</v>
      </c>
    </row>
    <row r="2026">
      <c r="A2026" s="1">
        <f>IFERROR(__xludf.DUMMYFUNCTION("""COMPUTED_VALUE"""),887050.0)</f>
        <v>887050</v>
      </c>
      <c r="B2026" s="2">
        <f>IFERROR(__xludf.DUMMYFUNCTION("""COMPUTED_VALUE"""),42742.90432310381)</f>
        <v>42742.90432</v>
      </c>
      <c r="C2026" s="1" t="str">
        <f>IFERROR(__xludf.DUMMYFUNCTION("""COMPUTED_VALUE"""),"treatment")</f>
        <v>treatment</v>
      </c>
      <c r="D2026" s="1" t="str">
        <f>IFERROR(__xludf.DUMMYFUNCTION("""COMPUTED_VALUE"""),"new_page")</f>
        <v>new_page</v>
      </c>
      <c r="E2026" s="1">
        <f>IFERROR(__xludf.DUMMYFUNCTION("""COMPUTED_VALUE"""),0.0)</f>
        <v>0</v>
      </c>
    </row>
    <row r="2027">
      <c r="A2027" s="1">
        <f>IFERROR(__xludf.DUMMYFUNCTION("""COMPUTED_VALUE"""),635387.0)</f>
        <v>635387</v>
      </c>
      <c r="B2027" s="2">
        <f>IFERROR(__xludf.DUMMYFUNCTION("""COMPUTED_VALUE"""),42745.65105003776)</f>
        <v>42745.65105</v>
      </c>
      <c r="C2027" s="1" t="str">
        <f>IFERROR(__xludf.DUMMYFUNCTION("""COMPUTED_VALUE"""),"treatment")</f>
        <v>treatment</v>
      </c>
      <c r="D2027" s="1" t="str">
        <f>IFERROR(__xludf.DUMMYFUNCTION("""COMPUTED_VALUE"""),"new_page")</f>
        <v>new_page</v>
      </c>
      <c r="E2027" s="1">
        <f>IFERROR(__xludf.DUMMYFUNCTION("""COMPUTED_VALUE"""),0.0)</f>
        <v>0</v>
      </c>
    </row>
    <row r="2028">
      <c r="A2028" s="1">
        <f>IFERROR(__xludf.DUMMYFUNCTION("""COMPUTED_VALUE"""),921214.0)</f>
        <v>921214</v>
      </c>
      <c r="B2028" s="2">
        <f>IFERROR(__xludf.DUMMYFUNCTION("""COMPUTED_VALUE"""),42752.16647677324)</f>
        <v>42752.16648</v>
      </c>
      <c r="C2028" s="1" t="str">
        <f>IFERROR(__xludf.DUMMYFUNCTION("""COMPUTED_VALUE"""),"control")</f>
        <v>control</v>
      </c>
      <c r="D2028" s="1" t="str">
        <f>IFERROR(__xludf.DUMMYFUNCTION("""COMPUTED_VALUE"""),"old_page")</f>
        <v>old_page</v>
      </c>
      <c r="E2028" s="1">
        <f>IFERROR(__xludf.DUMMYFUNCTION("""COMPUTED_VALUE"""),0.0)</f>
        <v>0</v>
      </c>
    </row>
    <row r="2029">
      <c r="A2029" s="1">
        <f>IFERROR(__xludf.DUMMYFUNCTION("""COMPUTED_VALUE"""),821037.0)</f>
        <v>821037</v>
      </c>
      <c r="B2029" s="2">
        <f>IFERROR(__xludf.DUMMYFUNCTION("""COMPUTED_VALUE"""),42750.81115395288)</f>
        <v>42750.81115</v>
      </c>
      <c r="C2029" s="1" t="str">
        <f>IFERROR(__xludf.DUMMYFUNCTION("""COMPUTED_VALUE"""),"treatment")</f>
        <v>treatment</v>
      </c>
      <c r="D2029" s="1" t="str">
        <f>IFERROR(__xludf.DUMMYFUNCTION("""COMPUTED_VALUE"""),"new_page")</f>
        <v>new_page</v>
      </c>
      <c r="E2029" s="1">
        <f>IFERROR(__xludf.DUMMYFUNCTION("""COMPUTED_VALUE"""),0.0)</f>
        <v>0</v>
      </c>
    </row>
    <row r="2030">
      <c r="A2030" s="1">
        <f>IFERROR(__xludf.DUMMYFUNCTION("""COMPUTED_VALUE"""),655484.0)</f>
        <v>655484</v>
      </c>
      <c r="B2030" s="2">
        <f>IFERROR(__xludf.DUMMYFUNCTION("""COMPUTED_VALUE"""),42747.32473137195)</f>
        <v>42747.32473</v>
      </c>
      <c r="C2030" s="1" t="str">
        <f>IFERROR(__xludf.DUMMYFUNCTION("""COMPUTED_VALUE"""),"control")</f>
        <v>control</v>
      </c>
      <c r="D2030" s="1" t="str">
        <f>IFERROR(__xludf.DUMMYFUNCTION("""COMPUTED_VALUE"""),"old_page")</f>
        <v>old_page</v>
      </c>
      <c r="E2030" s="1">
        <f>IFERROR(__xludf.DUMMYFUNCTION("""COMPUTED_VALUE"""),0.0)</f>
        <v>0</v>
      </c>
    </row>
    <row r="2031">
      <c r="A2031" s="1">
        <f>IFERROR(__xludf.DUMMYFUNCTION("""COMPUTED_VALUE"""),884279.0)</f>
        <v>884279</v>
      </c>
      <c r="B2031" s="2">
        <f>IFERROR(__xludf.DUMMYFUNCTION("""COMPUTED_VALUE"""),42738.27343488312)</f>
        <v>42738.27343</v>
      </c>
      <c r="C2031" s="1" t="str">
        <f>IFERROR(__xludf.DUMMYFUNCTION("""COMPUTED_VALUE"""),"control")</f>
        <v>control</v>
      </c>
      <c r="D2031" s="1" t="str">
        <f>IFERROR(__xludf.DUMMYFUNCTION("""COMPUTED_VALUE"""),"old_page")</f>
        <v>old_page</v>
      </c>
      <c r="E2031" s="1">
        <f>IFERROR(__xludf.DUMMYFUNCTION("""COMPUTED_VALUE"""),0.0)</f>
        <v>0</v>
      </c>
    </row>
    <row r="2032">
      <c r="A2032" s="1">
        <f>IFERROR(__xludf.DUMMYFUNCTION("""COMPUTED_VALUE"""),866193.0)</f>
        <v>866193</v>
      </c>
      <c r="B2032" s="2">
        <f>IFERROR(__xludf.DUMMYFUNCTION("""COMPUTED_VALUE"""),42751.93041481432)</f>
        <v>42751.93041</v>
      </c>
      <c r="C2032" s="1" t="str">
        <f>IFERROR(__xludf.DUMMYFUNCTION("""COMPUTED_VALUE"""),"treatment")</f>
        <v>treatment</v>
      </c>
      <c r="D2032" s="1" t="str">
        <f>IFERROR(__xludf.DUMMYFUNCTION("""COMPUTED_VALUE"""),"new_page")</f>
        <v>new_page</v>
      </c>
      <c r="E2032" s="1">
        <f>IFERROR(__xludf.DUMMYFUNCTION("""COMPUTED_VALUE"""),1.0)</f>
        <v>1</v>
      </c>
    </row>
    <row r="2033">
      <c r="A2033" s="1">
        <f>IFERROR(__xludf.DUMMYFUNCTION("""COMPUTED_VALUE"""),832170.0)</f>
        <v>832170</v>
      </c>
      <c r="B2033" s="2">
        <f>IFERROR(__xludf.DUMMYFUNCTION("""COMPUTED_VALUE"""),42751.05182537883)</f>
        <v>42751.05183</v>
      </c>
      <c r="C2033" s="1" t="str">
        <f>IFERROR(__xludf.DUMMYFUNCTION("""COMPUTED_VALUE"""),"treatment")</f>
        <v>treatment</v>
      </c>
      <c r="D2033" s="1" t="str">
        <f>IFERROR(__xludf.DUMMYFUNCTION("""COMPUTED_VALUE"""),"new_page")</f>
        <v>new_page</v>
      </c>
      <c r="E2033" s="1">
        <f>IFERROR(__xludf.DUMMYFUNCTION("""COMPUTED_VALUE"""),0.0)</f>
        <v>0</v>
      </c>
    </row>
    <row r="2034">
      <c r="A2034" s="1">
        <f>IFERROR(__xludf.DUMMYFUNCTION("""COMPUTED_VALUE"""),923867.0)</f>
        <v>923867</v>
      </c>
      <c r="B2034" s="2">
        <f>IFERROR(__xludf.DUMMYFUNCTION("""COMPUTED_VALUE"""),42756.70754500742)</f>
        <v>42756.70755</v>
      </c>
      <c r="C2034" s="1" t="str">
        <f>IFERROR(__xludf.DUMMYFUNCTION("""COMPUTED_VALUE"""),"control")</f>
        <v>control</v>
      </c>
      <c r="D2034" s="1" t="str">
        <f>IFERROR(__xludf.DUMMYFUNCTION("""COMPUTED_VALUE"""),"old_page")</f>
        <v>old_page</v>
      </c>
      <c r="E2034" s="1">
        <f>IFERROR(__xludf.DUMMYFUNCTION("""COMPUTED_VALUE"""),0.0)</f>
        <v>0</v>
      </c>
    </row>
    <row r="2035">
      <c r="A2035" s="1">
        <f>IFERROR(__xludf.DUMMYFUNCTION("""COMPUTED_VALUE"""),672405.0)</f>
        <v>672405</v>
      </c>
      <c r="B2035" s="2">
        <f>IFERROR(__xludf.DUMMYFUNCTION("""COMPUTED_VALUE"""),42759.50945125363)</f>
        <v>42759.50945</v>
      </c>
      <c r="C2035" s="1" t="str">
        <f>IFERROR(__xludf.DUMMYFUNCTION("""COMPUTED_VALUE"""),"control")</f>
        <v>control</v>
      </c>
      <c r="D2035" s="1" t="str">
        <f>IFERROR(__xludf.DUMMYFUNCTION("""COMPUTED_VALUE"""),"old_page")</f>
        <v>old_page</v>
      </c>
      <c r="E2035" s="1">
        <f>IFERROR(__xludf.DUMMYFUNCTION("""COMPUTED_VALUE"""),1.0)</f>
        <v>1</v>
      </c>
    </row>
    <row r="2036">
      <c r="A2036" s="1">
        <f>IFERROR(__xludf.DUMMYFUNCTION("""COMPUTED_VALUE"""),817557.0)</f>
        <v>817557</v>
      </c>
      <c r="B2036" s="2">
        <f>IFERROR(__xludf.DUMMYFUNCTION("""COMPUTED_VALUE"""),42741.564519899395)</f>
        <v>42741.56452</v>
      </c>
      <c r="C2036" s="1" t="str">
        <f>IFERROR(__xludf.DUMMYFUNCTION("""COMPUTED_VALUE"""),"control")</f>
        <v>control</v>
      </c>
      <c r="D2036" s="1" t="str">
        <f>IFERROR(__xludf.DUMMYFUNCTION("""COMPUTED_VALUE"""),"old_page")</f>
        <v>old_page</v>
      </c>
      <c r="E2036" s="1">
        <f>IFERROR(__xludf.DUMMYFUNCTION("""COMPUTED_VALUE"""),0.0)</f>
        <v>0</v>
      </c>
    </row>
    <row r="2037">
      <c r="A2037" s="1">
        <f>IFERROR(__xludf.DUMMYFUNCTION("""COMPUTED_VALUE"""),795944.0)</f>
        <v>795944</v>
      </c>
      <c r="B2037" s="2">
        <f>IFERROR(__xludf.DUMMYFUNCTION("""COMPUTED_VALUE"""),42748.08431125892)</f>
        <v>42748.08431</v>
      </c>
      <c r="C2037" s="1" t="str">
        <f>IFERROR(__xludf.DUMMYFUNCTION("""COMPUTED_VALUE"""),"control")</f>
        <v>control</v>
      </c>
      <c r="D2037" s="1" t="str">
        <f>IFERROR(__xludf.DUMMYFUNCTION("""COMPUTED_VALUE"""),"old_page")</f>
        <v>old_page</v>
      </c>
      <c r="E2037" s="1">
        <f>IFERROR(__xludf.DUMMYFUNCTION("""COMPUTED_VALUE"""),0.0)</f>
        <v>0</v>
      </c>
    </row>
    <row r="2038">
      <c r="A2038" s="1">
        <f>IFERROR(__xludf.DUMMYFUNCTION("""COMPUTED_VALUE"""),704486.0)</f>
        <v>704486</v>
      </c>
      <c r="B2038" s="2">
        <f>IFERROR(__xludf.DUMMYFUNCTION("""COMPUTED_VALUE"""),42752.79223715792)</f>
        <v>42752.79224</v>
      </c>
      <c r="C2038" s="1" t="str">
        <f>IFERROR(__xludf.DUMMYFUNCTION("""COMPUTED_VALUE"""),"treatment")</f>
        <v>treatment</v>
      </c>
      <c r="D2038" s="1" t="str">
        <f>IFERROR(__xludf.DUMMYFUNCTION("""COMPUTED_VALUE"""),"new_page")</f>
        <v>new_page</v>
      </c>
      <c r="E2038" s="1">
        <f>IFERROR(__xludf.DUMMYFUNCTION("""COMPUTED_VALUE"""),0.0)</f>
        <v>0</v>
      </c>
    </row>
    <row r="2039">
      <c r="A2039" s="1">
        <f>IFERROR(__xludf.DUMMYFUNCTION("""COMPUTED_VALUE"""),903550.0)</f>
        <v>903550</v>
      </c>
      <c r="B2039" s="2">
        <f>IFERROR(__xludf.DUMMYFUNCTION("""COMPUTED_VALUE"""),42751.114573310035)</f>
        <v>42751.11457</v>
      </c>
      <c r="C2039" s="1" t="str">
        <f>IFERROR(__xludf.DUMMYFUNCTION("""COMPUTED_VALUE"""),"control")</f>
        <v>control</v>
      </c>
      <c r="D2039" s="1" t="str">
        <f>IFERROR(__xludf.DUMMYFUNCTION("""COMPUTED_VALUE"""),"old_page")</f>
        <v>old_page</v>
      </c>
      <c r="E2039" s="1">
        <f>IFERROR(__xludf.DUMMYFUNCTION("""COMPUTED_VALUE"""),0.0)</f>
        <v>0</v>
      </c>
    </row>
    <row r="2040">
      <c r="A2040" s="1">
        <f>IFERROR(__xludf.DUMMYFUNCTION("""COMPUTED_VALUE"""),932269.0)</f>
        <v>932269</v>
      </c>
      <c r="B2040" s="2">
        <f>IFERROR(__xludf.DUMMYFUNCTION("""COMPUTED_VALUE"""),42754.36524356868)</f>
        <v>42754.36524</v>
      </c>
      <c r="C2040" s="1" t="str">
        <f>IFERROR(__xludf.DUMMYFUNCTION("""COMPUTED_VALUE"""),"treatment")</f>
        <v>treatment</v>
      </c>
      <c r="D2040" s="1" t="str">
        <f>IFERROR(__xludf.DUMMYFUNCTION("""COMPUTED_VALUE"""),"new_page")</f>
        <v>new_page</v>
      </c>
      <c r="E2040" s="1">
        <f>IFERROR(__xludf.DUMMYFUNCTION("""COMPUTED_VALUE"""),0.0)</f>
        <v>0</v>
      </c>
    </row>
    <row r="2041">
      <c r="A2041" s="1">
        <f>IFERROR(__xludf.DUMMYFUNCTION("""COMPUTED_VALUE"""),632643.0)</f>
        <v>632643</v>
      </c>
      <c r="B2041" s="2">
        <f>IFERROR(__xludf.DUMMYFUNCTION("""COMPUTED_VALUE"""),42749.77347235996)</f>
        <v>42749.77347</v>
      </c>
      <c r="C2041" s="1" t="str">
        <f>IFERROR(__xludf.DUMMYFUNCTION("""COMPUTED_VALUE"""),"treatment")</f>
        <v>treatment</v>
      </c>
      <c r="D2041" s="1" t="str">
        <f>IFERROR(__xludf.DUMMYFUNCTION("""COMPUTED_VALUE"""),"new_page")</f>
        <v>new_page</v>
      </c>
      <c r="E2041" s="1">
        <f>IFERROR(__xludf.DUMMYFUNCTION("""COMPUTED_VALUE"""),0.0)</f>
        <v>0</v>
      </c>
    </row>
    <row r="2042">
      <c r="A2042" s="1">
        <f>IFERROR(__xludf.DUMMYFUNCTION("""COMPUTED_VALUE"""),867053.0)</f>
        <v>867053</v>
      </c>
      <c r="B2042" s="2">
        <f>IFERROR(__xludf.DUMMYFUNCTION("""COMPUTED_VALUE"""),42754.40463071992)</f>
        <v>42754.40463</v>
      </c>
      <c r="C2042" s="1" t="str">
        <f>IFERROR(__xludf.DUMMYFUNCTION("""COMPUTED_VALUE"""),"control")</f>
        <v>control</v>
      </c>
      <c r="D2042" s="1" t="str">
        <f>IFERROR(__xludf.DUMMYFUNCTION("""COMPUTED_VALUE"""),"old_page")</f>
        <v>old_page</v>
      </c>
      <c r="E2042" s="1">
        <f>IFERROR(__xludf.DUMMYFUNCTION("""COMPUTED_VALUE"""),0.0)</f>
        <v>0</v>
      </c>
    </row>
    <row r="2043">
      <c r="A2043" s="1">
        <f>IFERROR(__xludf.DUMMYFUNCTION("""COMPUTED_VALUE"""),938134.0)</f>
        <v>938134</v>
      </c>
      <c r="B2043" s="2">
        <f>IFERROR(__xludf.DUMMYFUNCTION("""COMPUTED_VALUE"""),42757.94832073536)</f>
        <v>42757.94832</v>
      </c>
      <c r="C2043" s="1" t="str">
        <f>IFERROR(__xludf.DUMMYFUNCTION("""COMPUTED_VALUE"""),"treatment")</f>
        <v>treatment</v>
      </c>
      <c r="D2043" s="1" t="str">
        <f>IFERROR(__xludf.DUMMYFUNCTION("""COMPUTED_VALUE"""),"new_page")</f>
        <v>new_page</v>
      </c>
      <c r="E2043" s="1">
        <f>IFERROR(__xludf.DUMMYFUNCTION("""COMPUTED_VALUE"""),0.0)</f>
        <v>0</v>
      </c>
    </row>
    <row r="2044">
      <c r="A2044" s="1">
        <f>IFERROR(__xludf.DUMMYFUNCTION("""COMPUTED_VALUE"""),804217.0)</f>
        <v>804217</v>
      </c>
      <c r="B2044" s="2">
        <f>IFERROR(__xludf.DUMMYFUNCTION("""COMPUTED_VALUE"""),42745.80913412542)</f>
        <v>42745.80913</v>
      </c>
      <c r="C2044" s="1" t="str">
        <f>IFERROR(__xludf.DUMMYFUNCTION("""COMPUTED_VALUE"""),"control")</f>
        <v>control</v>
      </c>
      <c r="D2044" s="1" t="str">
        <f>IFERROR(__xludf.DUMMYFUNCTION("""COMPUTED_VALUE"""),"old_page")</f>
        <v>old_page</v>
      </c>
      <c r="E2044" s="1">
        <f>IFERROR(__xludf.DUMMYFUNCTION("""COMPUTED_VALUE"""),0.0)</f>
        <v>0</v>
      </c>
    </row>
    <row r="2045">
      <c r="A2045" s="1">
        <f>IFERROR(__xludf.DUMMYFUNCTION("""COMPUTED_VALUE"""),710751.0)</f>
        <v>710751</v>
      </c>
      <c r="B2045" s="2">
        <f>IFERROR(__xludf.DUMMYFUNCTION("""COMPUTED_VALUE"""),42753.99492092372)</f>
        <v>42753.99492</v>
      </c>
      <c r="C2045" s="1" t="str">
        <f>IFERROR(__xludf.DUMMYFUNCTION("""COMPUTED_VALUE"""),"control")</f>
        <v>control</v>
      </c>
      <c r="D2045" s="1" t="str">
        <f>IFERROR(__xludf.DUMMYFUNCTION("""COMPUTED_VALUE"""),"old_page")</f>
        <v>old_page</v>
      </c>
      <c r="E2045" s="1">
        <f>IFERROR(__xludf.DUMMYFUNCTION("""COMPUTED_VALUE"""),0.0)</f>
        <v>0</v>
      </c>
    </row>
    <row r="2046">
      <c r="A2046" s="1">
        <f>IFERROR(__xludf.DUMMYFUNCTION("""COMPUTED_VALUE"""),769172.0)</f>
        <v>769172</v>
      </c>
      <c r="B2046" s="2">
        <f>IFERROR(__xludf.DUMMYFUNCTION("""COMPUTED_VALUE"""),42743.70735474237)</f>
        <v>42743.70735</v>
      </c>
      <c r="C2046" s="1" t="str">
        <f>IFERROR(__xludf.DUMMYFUNCTION("""COMPUTED_VALUE"""),"treatment")</f>
        <v>treatment</v>
      </c>
      <c r="D2046" s="1" t="str">
        <f>IFERROR(__xludf.DUMMYFUNCTION("""COMPUTED_VALUE"""),"new_page")</f>
        <v>new_page</v>
      </c>
      <c r="E2046" s="1">
        <f>IFERROR(__xludf.DUMMYFUNCTION("""COMPUTED_VALUE"""),0.0)</f>
        <v>0</v>
      </c>
    </row>
    <row r="2047">
      <c r="A2047" s="1">
        <f>IFERROR(__xludf.DUMMYFUNCTION("""COMPUTED_VALUE"""),645923.0)</f>
        <v>645923</v>
      </c>
      <c r="B2047" s="2">
        <f>IFERROR(__xludf.DUMMYFUNCTION("""COMPUTED_VALUE"""),42744.9302186322)</f>
        <v>42744.93022</v>
      </c>
      <c r="C2047" s="1" t="str">
        <f>IFERROR(__xludf.DUMMYFUNCTION("""COMPUTED_VALUE"""),"treatment")</f>
        <v>treatment</v>
      </c>
      <c r="D2047" s="1" t="str">
        <f>IFERROR(__xludf.DUMMYFUNCTION("""COMPUTED_VALUE"""),"new_page")</f>
        <v>new_page</v>
      </c>
      <c r="E2047" s="1">
        <f>IFERROR(__xludf.DUMMYFUNCTION("""COMPUTED_VALUE"""),0.0)</f>
        <v>0</v>
      </c>
    </row>
    <row r="2048">
      <c r="A2048" s="1">
        <f>IFERROR(__xludf.DUMMYFUNCTION("""COMPUTED_VALUE"""),650328.0)</f>
        <v>650328</v>
      </c>
      <c r="B2048" s="2">
        <f>IFERROR(__xludf.DUMMYFUNCTION("""COMPUTED_VALUE"""),42749.21863143478)</f>
        <v>42749.21863</v>
      </c>
      <c r="C2048" s="1" t="str">
        <f>IFERROR(__xludf.DUMMYFUNCTION("""COMPUTED_VALUE"""),"control")</f>
        <v>control</v>
      </c>
      <c r="D2048" s="1" t="str">
        <f>IFERROR(__xludf.DUMMYFUNCTION("""COMPUTED_VALUE"""),"old_page")</f>
        <v>old_page</v>
      </c>
      <c r="E2048" s="1">
        <f>IFERROR(__xludf.DUMMYFUNCTION("""COMPUTED_VALUE"""),0.0)</f>
        <v>0</v>
      </c>
    </row>
    <row r="2049">
      <c r="A2049" s="1">
        <f>IFERROR(__xludf.DUMMYFUNCTION("""COMPUTED_VALUE"""),806939.0)</f>
        <v>806939</v>
      </c>
      <c r="B2049" s="2">
        <f>IFERROR(__xludf.DUMMYFUNCTION("""COMPUTED_VALUE"""),42752.251216463286)</f>
        <v>42752.25122</v>
      </c>
      <c r="C2049" s="1" t="str">
        <f>IFERROR(__xludf.DUMMYFUNCTION("""COMPUTED_VALUE"""),"control")</f>
        <v>control</v>
      </c>
      <c r="D2049" s="1" t="str">
        <f>IFERROR(__xludf.DUMMYFUNCTION("""COMPUTED_VALUE"""),"old_page")</f>
        <v>old_page</v>
      </c>
      <c r="E2049" s="1">
        <f>IFERROR(__xludf.DUMMYFUNCTION("""COMPUTED_VALUE"""),0.0)</f>
        <v>0</v>
      </c>
    </row>
    <row r="2050">
      <c r="A2050" s="1">
        <f>IFERROR(__xludf.DUMMYFUNCTION("""COMPUTED_VALUE"""),708051.0)</f>
        <v>708051</v>
      </c>
      <c r="B2050" s="2">
        <f>IFERROR(__xludf.DUMMYFUNCTION("""COMPUTED_VALUE"""),42755.14134281415)</f>
        <v>42755.14134</v>
      </c>
      <c r="C2050" s="1" t="str">
        <f>IFERROR(__xludf.DUMMYFUNCTION("""COMPUTED_VALUE"""),"treatment")</f>
        <v>treatment</v>
      </c>
      <c r="D2050" s="1" t="str">
        <f>IFERROR(__xludf.DUMMYFUNCTION("""COMPUTED_VALUE"""),"new_page")</f>
        <v>new_page</v>
      </c>
      <c r="E2050" s="1">
        <f>IFERROR(__xludf.DUMMYFUNCTION("""COMPUTED_VALUE"""),0.0)</f>
        <v>0</v>
      </c>
    </row>
    <row r="2051">
      <c r="A2051" s="1">
        <f>IFERROR(__xludf.DUMMYFUNCTION("""COMPUTED_VALUE"""),911179.0)</f>
        <v>911179</v>
      </c>
      <c r="B2051" s="2">
        <f>IFERROR(__xludf.DUMMYFUNCTION("""COMPUTED_VALUE"""),42757.168780168875)</f>
        <v>42757.16878</v>
      </c>
      <c r="C2051" s="1" t="str">
        <f>IFERROR(__xludf.DUMMYFUNCTION("""COMPUTED_VALUE"""),"treatment")</f>
        <v>treatment</v>
      </c>
      <c r="D2051" s="1" t="str">
        <f>IFERROR(__xludf.DUMMYFUNCTION("""COMPUTED_VALUE"""),"new_page")</f>
        <v>new_page</v>
      </c>
      <c r="E2051" s="1">
        <f>IFERROR(__xludf.DUMMYFUNCTION("""COMPUTED_VALUE"""),0.0)</f>
        <v>0</v>
      </c>
    </row>
    <row r="2052">
      <c r="A2052" s="1">
        <f>IFERROR(__xludf.DUMMYFUNCTION("""COMPUTED_VALUE"""),737706.0)</f>
        <v>737706</v>
      </c>
      <c r="B2052" s="2">
        <f>IFERROR(__xludf.DUMMYFUNCTION("""COMPUTED_VALUE"""),42758.222079952364)</f>
        <v>42758.22208</v>
      </c>
      <c r="C2052" s="1" t="str">
        <f>IFERROR(__xludf.DUMMYFUNCTION("""COMPUTED_VALUE"""),"treatment")</f>
        <v>treatment</v>
      </c>
      <c r="D2052" s="1" t="str">
        <f>IFERROR(__xludf.DUMMYFUNCTION("""COMPUTED_VALUE"""),"new_page")</f>
        <v>new_page</v>
      </c>
      <c r="E2052" s="1">
        <f>IFERROR(__xludf.DUMMYFUNCTION("""COMPUTED_VALUE"""),0.0)</f>
        <v>0</v>
      </c>
    </row>
    <row r="2053">
      <c r="A2053" s="1">
        <f>IFERROR(__xludf.DUMMYFUNCTION("""COMPUTED_VALUE"""),846096.0)</f>
        <v>846096</v>
      </c>
      <c r="B2053" s="2">
        <f>IFERROR(__xludf.DUMMYFUNCTION("""COMPUTED_VALUE"""),42741.554047066886)</f>
        <v>42741.55405</v>
      </c>
      <c r="C2053" s="1" t="str">
        <f>IFERROR(__xludf.DUMMYFUNCTION("""COMPUTED_VALUE"""),"treatment")</f>
        <v>treatment</v>
      </c>
      <c r="D2053" s="1" t="str">
        <f>IFERROR(__xludf.DUMMYFUNCTION("""COMPUTED_VALUE"""),"new_page")</f>
        <v>new_page</v>
      </c>
      <c r="E2053" s="1">
        <f>IFERROR(__xludf.DUMMYFUNCTION("""COMPUTED_VALUE"""),0.0)</f>
        <v>0</v>
      </c>
    </row>
    <row r="2054">
      <c r="A2054" s="1">
        <f>IFERROR(__xludf.DUMMYFUNCTION("""COMPUTED_VALUE"""),640225.0)</f>
        <v>640225</v>
      </c>
      <c r="B2054" s="2">
        <f>IFERROR(__xludf.DUMMYFUNCTION("""COMPUTED_VALUE"""),42740.03090699142)</f>
        <v>42740.03091</v>
      </c>
      <c r="C2054" s="1" t="str">
        <f>IFERROR(__xludf.DUMMYFUNCTION("""COMPUTED_VALUE"""),"control")</f>
        <v>control</v>
      </c>
      <c r="D2054" s="1" t="str">
        <f>IFERROR(__xludf.DUMMYFUNCTION("""COMPUTED_VALUE"""),"old_page")</f>
        <v>old_page</v>
      </c>
      <c r="E2054" s="1">
        <f>IFERROR(__xludf.DUMMYFUNCTION("""COMPUTED_VALUE"""),0.0)</f>
        <v>0</v>
      </c>
    </row>
    <row r="2055">
      <c r="A2055" s="1">
        <f>IFERROR(__xludf.DUMMYFUNCTION("""COMPUTED_VALUE"""),715490.0)</f>
        <v>715490</v>
      </c>
      <c r="B2055" s="2">
        <f>IFERROR(__xludf.DUMMYFUNCTION("""COMPUTED_VALUE"""),42740.71854165713)</f>
        <v>42740.71854</v>
      </c>
      <c r="C2055" s="1" t="str">
        <f>IFERROR(__xludf.DUMMYFUNCTION("""COMPUTED_VALUE"""),"treatment")</f>
        <v>treatment</v>
      </c>
      <c r="D2055" s="1" t="str">
        <f>IFERROR(__xludf.DUMMYFUNCTION("""COMPUTED_VALUE"""),"new_page")</f>
        <v>new_page</v>
      </c>
      <c r="E2055" s="1">
        <f>IFERROR(__xludf.DUMMYFUNCTION("""COMPUTED_VALUE"""),0.0)</f>
        <v>0</v>
      </c>
    </row>
    <row r="2056">
      <c r="A2056" s="1">
        <f>IFERROR(__xludf.DUMMYFUNCTION("""COMPUTED_VALUE"""),784274.0)</f>
        <v>784274</v>
      </c>
      <c r="B2056" s="2">
        <f>IFERROR(__xludf.DUMMYFUNCTION("""COMPUTED_VALUE"""),42741.02693535933)</f>
        <v>42741.02694</v>
      </c>
      <c r="C2056" s="1" t="str">
        <f>IFERROR(__xludf.DUMMYFUNCTION("""COMPUTED_VALUE"""),"treatment")</f>
        <v>treatment</v>
      </c>
      <c r="D2056" s="1" t="str">
        <f>IFERROR(__xludf.DUMMYFUNCTION("""COMPUTED_VALUE"""),"new_page")</f>
        <v>new_page</v>
      </c>
      <c r="E2056" s="1">
        <f>IFERROR(__xludf.DUMMYFUNCTION("""COMPUTED_VALUE"""),0.0)</f>
        <v>0</v>
      </c>
    </row>
    <row r="2057">
      <c r="A2057" s="1">
        <f>IFERROR(__xludf.DUMMYFUNCTION("""COMPUTED_VALUE"""),709584.0)</f>
        <v>709584</v>
      </c>
      <c r="B2057" s="2">
        <f>IFERROR(__xludf.DUMMYFUNCTION("""COMPUTED_VALUE"""),42751.303553800084)</f>
        <v>42751.30355</v>
      </c>
      <c r="C2057" s="1" t="str">
        <f>IFERROR(__xludf.DUMMYFUNCTION("""COMPUTED_VALUE"""),"control")</f>
        <v>control</v>
      </c>
      <c r="D2057" s="1" t="str">
        <f>IFERROR(__xludf.DUMMYFUNCTION("""COMPUTED_VALUE"""),"old_page")</f>
        <v>old_page</v>
      </c>
      <c r="E2057" s="1">
        <f>IFERROR(__xludf.DUMMYFUNCTION("""COMPUTED_VALUE"""),0.0)</f>
        <v>0</v>
      </c>
    </row>
    <row r="2058">
      <c r="A2058" s="1">
        <f>IFERROR(__xludf.DUMMYFUNCTION("""COMPUTED_VALUE"""),642390.0)</f>
        <v>642390</v>
      </c>
      <c r="B2058" s="2">
        <f>IFERROR(__xludf.DUMMYFUNCTION("""COMPUTED_VALUE"""),42758.60398991649)</f>
        <v>42758.60399</v>
      </c>
      <c r="C2058" s="1" t="str">
        <f>IFERROR(__xludf.DUMMYFUNCTION("""COMPUTED_VALUE"""),"treatment")</f>
        <v>treatment</v>
      </c>
      <c r="D2058" s="1" t="str">
        <f>IFERROR(__xludf.DUMMYFUNCTION("""COMPUTED_VALUE"""),"new_page")</f>
        <v>new_page</v>
      </c>
      <c r="E2058" s="1">
        <f>IFERROR(__xludf.DUMMYFUNCTION("""COMPUTED_VALUE"""),0.0)</f>
        <v>0</v>
      </c>
    </row>
    <row r="2059">
      <c r="A2059" s="1">
        <f>IFERROR(__xludf.DUMMYFUNCTION("""COMPUTED_VALUE"""),819659.0)</f>
        <v>819659</v>
      </c>
      <c r="B2059" s="2">
        <f>IFERROR(__xludf.DUMMYFUNCTION("""COMPUTED_VALUE"""),42757.92696414293)</f>
        <v>42757.92696</v>
      </c>
      <c r="C2059" s="1" t="str">
        <f>IFERROR(__xludf.DUMMYFUNCTION("""COMPUTED_VALUE"""),"control")</f>
        <v>control</v>
      </c>
      <c r="D2059" s="1" t="str">
        <f>IFERROR(__xludf.DUMMYFUNCTION("""COMPUTED_VALUE"""),"old_page")</f>
        <v>old_page</v>
      </c>
      <c r="E2059" s="1">
        <f>IFERROR(__xludf.DUMMYFUNCTION("""COMPUTED_VALUE"""),0.0)</f>
        <v>0</v>
      </c>
    </row>
    <row r="2060">
      <c r="A2060" s="1">
        <f>IFERROR(__xludf.DUMMYFUNCTION("""COMPUTED_VALUE"""),763645.0)</f>
        <v>763645</v>
      </c>
      <c r="B2060" s="2">
        <f>IFERROR(__xludf.DUMMYFUNCTION("""COMPUTED_VALUE"""),42741.98404862425)</f>
        <v>42741.98405</v>
      </c>
      <c r="C2060" s="1" t="str">
        <f>IFERROR(__xludf.DUMMYFUNCTION("""COMPUTED_VALUE"""),"control")</f>
        <v>control</v>
      </c>
      <c r="D2060" s="1" t="str">
        <f>IFERROR(__xludf.DUMMYFUNCTION("""COMPUTED_VALUE"""),"old_page")</f>
        <v>old_page</v>
      </c>
      <c r="E2060" s="1">
        <f>IFERROR(__xludf.DUMMYFUNCTION("""COMPUTED_VALUE"""),0.0)</f>
        <v>0</v>
      </c>
    </row>
    <row r="2061">
      <c r="A2061" s="1">
        <f>IFERROR(__xludf.DUMMYFUNCTION("""COMPUTED_VALUE"""),745723.0)</f>
        <v>745723</v>
      </c>
      <c r="B2061" s="2">
        <f>IFERROR(__xludf.DUMMYFUNCTION("""COMPUTED_VALUE"""),42758.711911125196)</f>
        <v>42758.71191</v>
      </c>
      <c r="C2061" s="1" t="str">
        <f>IFERROR(__xludf.DUMMYFUNCTION("""COMPUTED_VALUE"""),"control")</f>
        <v>control</v>
      </c>
      <c r="D2061" s="1" t="str">
        <f>IFERROR(__xludf.DUMMYFUNCTION("""COMPUTED_VALUE"""),"old_page")</f>
        <v>old_page</v>
      </c>
      <c r="E2061" s="1">
        <f>IFERROR(__xludf.DUMMYFUNCTION("""COMPUTED_VALUE"""),0.0)</f>
        <v>0</v>
      </c>
    </row>
    <row r="2062">
      <c r="A2062" s="1">
        <f>IFERROR(__xludf.DUMMYFUNCTION("""COMPUTED_VALUE"""),813492.0)</f>
        <v>813492</v>
      </c>
      <c r="B2062" s="2">
        <f>IFERROR(__xludf.DUMMYFUNCTION("""COMPUTED_VALUE"""),42742.607625516524)</f>
        <v>42742.60763</v>
      </c>
      <c r="C2062" s="1" t="str">
        <f>IFERROR(__xludf.DUMMYFUNCTION("""COMPUTED_VALUE"""),"treatment")</f>
        <v>treatment</v>
      </c>
      <c r="D2062" s="1" t="str">
        <f>IFERROR(__xludf.DUMMYFUNCTION("""COMPUTED_VALUE"""),"new_page")</f>
        <v>new_page</v>
      </c>
      <c r="E2062" s="1">
        <f>IFERROR(__xludf.DUMMYFUNCTION("""COMPUTED_VALUE"""),0.0)</f>
        <v>0</v>
      </c>
    </row>
    <row r="2063">
      <c r="A2063" s="1">
        <f>IFERROR(__xludf.DUMMYFUNCTION("""COMPUTED_VALUE"""),862647.0)</f>
        <v>862647</v>
      </c>
      <c r="B2063" s="2">
        <f>IFERROR(__xludf.DUMMYFUNCTION("""COMPUTED_VALUE"""),42748.71966032617)</f>
        <v>42748.71966</v>
      </c>
      <c r="C2063" s="1" t="str">
        <f>IFERROR(__xludf.DUMMYFUNCTION("""COMPUTED_VALUE"""),"control")</f>
        <v>control</v>
      </c>
      <c r="D2063" s="1" t="str">
        <f>IFERROR(__xludf.DUMMYFUNCTION("""COMPUTED_VALUE"""),"old_page")</f>
        <v>old_page</v>
      </c>
      <c r="E2063" s="1">
        <f>IFERROR(__xludf.DUMMYFUNCTION("""COMPUTED_VALUE"""),0.0)</f>
        <v>0</v>
      </c>
    </row>
    <row r="2064">
      <c r="A2064" s="1">
        <f>IFERROR(__xludf.DUMMYFUNCTION("""COMPUTED_VALUE"""),715157.0)</f>
        <v>715157</v>
      </c>
      <c r="B2064" s="2">
        <f>IFERROR(__xludf.DUMMYFUNCTION("""COMPUTED_VALUE"""),42743.48663514758)</f>
        <v>42743.48664</v>
      </c>
      <c r="C2064" s="1" t="str">
        <f>IFERROR(__xludf.DUMMYFUNCTION("""COMPUTED_VALUE"""),"control")</f>
        <v>control</v>
      </c>
      <c r="D2064" s="1" t="str">
        <f>IFERROR(__xludf.DUMMYFUNCTION("""COMPUTED_VALUE"""),"old_page")</f>
        <v>old_page</v>
      </c>
      <c r="E2064" s="1">
        <f>IFERROR(__xludf.DUMMYFUNCTION("""COMPUTED_VALUE"""),0.0)</f>
        <v>0</v>
      </c>
    </row>
    <row r="2065">
      <c r="A2065" s="1">
        <f>IFERROR(__xludf.DUMMYFUNCTION("""COMPUTED_VALUE"""),917765.0)</f>
        <v>917765</v>
      </c>
      <c r="B2065" s="2">
        <f>IFERROR(__xludf.DUMMYFUNCTION("""COMPUTED_VALUE"""),42741.898365568064)</f>
        <v>42741.89837</v>
      </c>
      <c r="C2065" s="1" t="str">
        <f>IFERROR(__xludf.DUMMYFUNCTION("""COMPUTED_VALUE"""),"control")</f>
        <v>control</v>
      </c>
      <c r="D2065" s="1" t="str">
        <f>IFERROR(__xludf.DUMMYFUNCTION("""COMPUTED_VALUE"""),"old_page")</f>
        <v>old_page</v>
      </c>
      <c r="E2065" s="1">
        <f>IFERROR(__xludf.DUMMYFUNCTION("""COMPUTED_VALUE"""),0.0)</f>
        <v>0</v>
      </c>
    </row>
    <row r="2066">
      <c r="A2066" s="1">
        <f>IFERROR(__xludf.DUMMYFUNCTION("""COMPUTED_VALUE"""),748986.0)</f>
        <v>748986</v>
      </c>
      <c r="B2066" s="2">
        <f>IFERROR(__xludf.DUMMYFUNCTION("""COMPUTED_VALUE"""),42756.69159854887)</f>
        <v>42756.6916</v>
      </c>
      <c r="C2066" s="1" t="str">
        <f>IFERROR(__xludf.DUMMYFUNCTION("""COMPUTED_VALUE"""),"treatment")</f>
        <v>treatment</v>
      </c>
      <c r="D2066" s="1" t="str">
        <f>IFERROR(__xludf.DUMMYFUNCTION("""COMPUTED_VALUE"""),"new_page")</f>
        <v>new_page</v>
      </c>
      <c r="E2066" s="1">
        <f>IFERROR(__xludf.DUMMYFUNCTION("""COMPUTED_VALUE"""),0.0)</f>
        <v>0</v>
      </c>
    </row>
    <row r="2067">
      <c r="A2067" s="1">
        <f>IFERROR(__xludf.DUMMYFUNCTION("""COMPUTED_VALUE"""),631836.0)</f>
        <v>631836</v>
      </c>
      <c r="B2067" s="2">
        <f>IFERROR(__xludf.DUMMYFUNCTION("""COMPUTED_VALUE"""),42741.64271374457)</f>
        <v>42741.64271</v>
      </c>
      <c r="C2067" s="1" t="str">
        <f>IFERROR(__xludf.DUMMYFUNCTION("""COMPUTED_VALUE"""),"treatment")</f>
        <v>treatment</v>
      </c>
      <c r="D2067" s="1" t="str">
        <f>IFERROR(__xludf.DUMMYFUNCTION("""COMPUTED_VALUE"""),"new_page")</f>
        <v>new_page</v>
      </c>
      <c r="E2067" s="1">
        <f>IFERROR(__xludf.DUMMYFUNCTION("""COMPUTED_VALUE"""),0.0)</f>
        <v>0</v>
      </c>
    </row>
    <row r="2068">
      <c r="A2068" s="1">
        <f>IFERROR(__xludf.DUMMYFUNCTION("""COMPUTED_VALUE"""),821207.0)</f>
        <v>821207</v>
      </c>
      <c r="B2068" s="2">
        <f>IFERROR(__xludf.DUMMYFUNCTION("""COMPUTED_VALUE"""),42756.59228221295)</f>
        <v>42756.59228</v>
      </c>
      <c r="C2068" s="1" t="str">
        <f>IFERROR(__xludf.DUMMYFUNCTION("""COMPUTED_VALUE"""),"control")</f>
        <v>control</v>
      </c>
      <c r="D2068" s="1" t="str">
        <f>IFERROR(__xludf.DUMMYFUNCTION("""COMPUTED_VALUE"""),"old_page")</f>
        <v>old_page</v>
      </c>
      <c r="E2068" s="1">
        <f>IFERROR(__xludf.DUMMYFUNCTION("""COMPUTED_VALUE"""),0.0)</f>
        <v>0</v>
      </c>
    </row>
    <row r="2069">
      <c r="A2069" s="1">
        <f>IFERROR(__xludf.DUMMYFUNCTION("""COMPUTED_VALUE"""),716497.0)</f>
        <v>716497</v>
      </c>
      <c r="B2069" s="2">
        <f>IFERROR(__xludf.DUMMYFUNCTION("""COMPUTED_VALUE"""),42746.79498320616)</f>
        <v>42746.79498</v>
      </c>
      <c r="C2069" s="1" t="str">
        <f>IFERROR(__xludf.DUMMYFUNCTION("""COMPUTED_VALUE"""),"control")</f>
        <v>control</v>
      </c>
      <c r="D2069" s="1" t="str">
        <f>IFERROR(__xludf.DUMMYFUNCTION("""COMPUTED_VALUE"""),"old_page")</f>
        <v>old_page</v>
      </c>
      <c r="E2069" s="1">
        <f>IFERROR(__xludf.DUMMYFUNCTION("""COMPUTED_VALUE"""),0.0)</f>
        <v>0</v>
      </c>
    </row>
    <row r="2070">
      <c r="A2070" s="1">
        <f>IFERROR(__xludf.DUMMYFUNCTION("""COMPUTED_VALUE"""),908348.0)</f>
        <v>908348</v>
      </c>
      <c r="B2070" s="2">
        <f>IFERROR(__xludf.DUMMYFUNCTION("""COMPUTED_VALUE"""),42740.41999091236)</f>
        <v>42740.41999</v>
      </c>
      <c r="C2070" s="1" t="str">
        <f>IFERROR(__xludf.DUMMYFUNCTION("""COMPUTED_VALUE"""),"control")</f>
        <v>control</v>
      </c>
      <c r="D2070" s="1" t="str">
        <f>IFERROR(__xludf.DUMMYFUNCTION("""COMPUTED_VALUE"""),"old_page")</f>
        <v>old_page</v>
      </c>
      <c r="E2070" s="1">
        <f>IFERROR(__xludf.DUMMYFUNCTION("""COMPUTED_VALUE"""),0.0)</f>
        <v>0</v>
      </c>
    </row>
    <row r="2071">
      <c r="A2071" s="1">
        <f>IFERROR(__xludf.DUMMYFUNCTION("""COMPUTED_VALUE"""),694599.0)</f>
        <v>694599</v>
      </c>
      <c r="B2071" s="2">
        <f>IFERROR(__xludf.DUMMYFUNCTION("""COMPUTED_VALUE"""),42743.10997860029)</f>
        <v>42743.10998</v>
      </c>
      <c r="C2071" s="1" t="str">
        <f>IFERROR(__xludf.DUMMYFUNCTION("""COMPUTED_VALUE"""),"control")</f>
        <v>control</v>
      </c>
      <c r="D2071" s="1" t="str">
        <f>IFERROR(__xludf.DUMMYFUNCTION("""COMPUTED_VALUE"""),"old_page")</f>
        <v>old_page</v>
      </c>
      <c r="E2071" s="1">
        <f>IFERROR(__xludf.DUMMYFUNCTION("""COMPUTED_VALUE"""),0.0)</f>
        <v>0</v>
      </c>
    </row>
    <row r="2072">
      <c r="A2072" s="1">
        <f>IFERROR(__xludf.DUMMYFUNCTION("""COMPUTED_VALUE"""),780752.0)</f>
        <v>780752</v>
      </c>
      <c r="B2072" s="2">
        <f>IFERROR(__xludf.DUMMYFUNCTION("""COMPUTED_VALUE"""),42753.129296422674)</f>
        <v>42753.1293</v>
      </c>
      <c r="C2072" s="1" t="str">
        <f>IFERROR(__xludf.DUMMYFUNCTION("""COMPUTED_VALUE"""),"treatment")</f>
        <v>treatment</v>
      </c>
      <c r="D2072" s="1" t="str">
        <f>IFERROR(__xludf.DUMMYFUNCTION("""COMPUTED_VALUE"""),"new_page")</f>
        <v>new_page</v>
      </c>
      <c r="E2072" s="1">
        <f>IFERROR(__xludf.DUMMYFUNCTION("""COMPUTED_VALUE"""),0.0)</f>
        <v>0</v>
      </c>
    </row>
    <row r="2073">
      <c r="A2073" s="1">
        <f>IFERROR(__xludf.DUMMYFUNCTION("""COMPUTED_VALUE"""),766921.0)</f>
        <v>766921</v>
      </c>
      <c r="B2073" s="2">
        <f>IFERROR(__xludf.DUMMYFUNCTION("""COMPUTED_VALUE"""),42741.600354292386)</f>
        <v>42741.60035</v>
      </c>
      <c r="C2073" s="1" t="str">
        <f>IFERROR(__xludf.DUMMYFUNCTION("""COMPUTED_VALUE"""),"treatment")</f>
        <v>treatment</v>
      </c>
      <c r="D2073" s="1" t="str">
        <f>IFERROR(__xludf.DUMMYFUNCTION("""COMPUTED_VALUE"""),"new_page")</f>
        <v>new_page</v>
      </c>
      <c r="E2073" s="1">
        <f>IFERROR(__xludf.DUMMYFUNCTION("""COMPUTED_VALUE"""),0.0)</f>
        <v>0</v>
      </c>
    </row>
    <row r="2074">
      <c r="A2074" s="1">
        <f>IFERROR(__xludf.DUMMYFUNCTION("""COMPUTED_VALUE"""),762574.0)</f>
        <v>762574</v>
      </c>
      <c r="B2074" s="2">
        <f>IFERROR(__xludf.DUMMYFUNCTION("""COMPUTED_VALUE"""),42752.39057513411)</f>
        <v>42752.39058</v>
      </c>
      <c r="C2074" s="1" t="str">
        <f>IFERROR(__xludf.DUMMYFUNCTION("""COMPUTED_VALUE"""),"treatment")</f>
        <v>treatment</v>
      </c>
      <c r="D2074" s="1" t="str">
        <f>IFERROR(__xludf.DUMMYFUNCTION("""COMPUTED_VALUE"""),"new_page")</f>
        <v>new_page</v>
      </c>
      <c r="E2074" s="1">
        <f>IFERROR(__xludf.DUMMYFUNCTION("""COMPUTED_VALUE"""),0.0)</f>
        <v>0</v>
      </c>
    </row>
    <row r="2075">
      <c r="A2075" s="1">
        <f>IFERROR(__xludf.DUMMYFUNCTION("""COMPUTED_VALUE"""),869606.0)</f>
        <v>869606</v>
      </c>
      <c r="B2075" s="2">
        <f>IFERROR(__xludf.DUMMYFUNCTION("""COMPUTED_VALUE"""),42751.717278800315)</f>
        <v>42751.71728</v>
      </c>
      <c r="C2075" s="1" t="str">
        <f>IFERROR(__xludf.DUMMYFUNCTION("""COMPUTED_VALUE"""),"control")</f>
        <v>control</v>
      </c>
      <c r="D2075" s="1" t="str">
        <f>IFERROR(__xludf.DUMMYFUNCTION("""COMPUTED_VALUE"""),"old_page")</f>
        <v>old_page</v>
      </c>
      <c r="E2075" s="1">
        <f>IFERROR(__xludf.DUMMYFUNCTION("""COMPUTED_VALUE"""),0.0)</f>
        <v>0</v>
      </c>
    </row>
    <row r="2076">
      <c r="A2076" s="1">
        <f>IFERROR(__xludf.DUMMYFUNCTION("""COMPUTED_VALUE"""),852848.0)</f>
        <v>852848</v>
      </c>
      <c r="B2076" s="2">
        <f>IFERROR(__xludf.DUMMYFUNCTION("""COMPUTED_VALUE"""),42755.497283860466)</f>
        <v>42755.49728</v>
      </c>
      <c r="C2076" s="1" t="str">
        <f>IFERROR(__xludf.DUMMYFUNCTION("""COMPUTED_VALUE"""),"control")</f>
        <v>control</v>
      </c>
      <c r="D2076" s="1" t="str">
        <f>IFERROR(__xludf.DUMMYFUNCTION("""COMPUTED_VALUE"""),"old_page")</f>
        <v>old_page</v>
      </c>
      <c r="E2076" s="1">
        <f>IFERROR(__xludf.DUMMYFUNCTION("""COMPUTED_VALUE"""),0.0)</f>
        <v>0</v>
      </c>
    </row>
    <row r="2077">
      <c r="A2077" s="1">
        <f>IFERROR(__xludf.DUMMYFUNCTION("""COMPUTED_VALUE"""),666992.0)</f>
        <v>666992</v>
      </c>
      <c r="B2077" s="2">
        <f>IFERROR(__xludf.DUMMYFUNCTION("""COMPUTED_VALUE"""),42737.63385245063)</f>
        <v>42737.63385</v>
      </c>
      <c r="C2077" s="1" t="str">
        <f>IFERROR(__xludf.DUMMYFUNCTION("""COMPUTED_VALUE"""),"control")</f>
        <v>control</v>
      </c>
      <c r="D2077" s="1" t="str">
        <f>IFERROR(__xludf.DUMMYFUNCTION("""COMPUTED_VALUE"""),"old_page")</f>
        <v>old_page</v>
      </c>
      <c r="E2077" s="1">
        <f>IFERROR(__xludf.DUMMYFUNCTION("""COMPUTED_VALUE"""),0.0)</f>
        <v>0</v>
      </c>
    </row>
    <row r="2078">
      <c r="A2078" s="1">
        <f>IFERROR(__xludf.DUMMYFUNCTION("""COMPUTED_VALUE"""),728436.0)</f>
        <v>728436</v>
      </c>
      <c r="B2078" s="2">
        <f>IFERROR(__xludf.DUMMYFUNCTION("""COMPUTED_VALUE"""),42756.51422484507)</f>
        <v>42756.51422</v>
      </c>
      <c r="C2078" s="1" t="str">
        <f>IFERROR(__xludf.DUMMYFUNCTION("""COMPUTED_VALUE"""),"treatment")</f>
        <v>treatment</v>
      </c>
      <c r="D2078" s="1" t="str">
        <f>IFERROR(__xludf.DUMMYFUNCTION("""COMPUTED_VALUE"""),"new_page")</f>
        <v>new_page</v>
      </c>
      <c r="E2078" s="1">
        <f>IFERROR(__xludf.DUMMYFUNCTION("""COMPUTED_VALUE"""),1.0)</f>
        <v>1</v>
      </c>
    </row>
    <row r="2079">
      <c r="A2079" s="1">
        <f>IFERROR(__xludf.DUMMYFUNCTION("""COMPUTED_VALUE"""),818348.0)</f>
        <v>818348</v>
      </c>
      <c r="B2079" s="2">
        <f>IFERROR(__xludf.DUMMYFUNCTION("""COMPUTED_VALUE"""),42745.01761629947)</f>
        <v>42745.01762</v>
      </c>
      <c r="C2079" s="1" t="str">
        <f>IFERROR(__xludf.DUMMYFUNCTION("""COMPUTED_VALUE"""),"control")</f>
        <v>control</v>
      </c>
      <c r="D2079" s="1" t="str">
        <f>IFERROR(__xludf.DUMMYFUNCTION("""COMPUTED_VALUE"""),"old_page")</f>
        <v>old_page</v>
      </c>
      <c r="E2079" s="1">
        <f>IFERROR(__xludf.DUMMYFUNCTION("""COMPUTED_VALUE"""),0.0)</f>
        <v>0</v>
      </c>
    </row>
    <row r="2080">
      <c r="A2080" s="1">
        <f>IFERROR(__xludf.DUMMYFUNCTION("""COMPUTED_VALUE"""),765370.0)</f>
        <v>765370</v>
      </c>
      <c r="B2080" s="2">
        <f>IFERROR(__xludf.DUMMYFUNCTION("""COMPUTED_VALUE"""),42754.27340334464)</f>
        <v>42754.2734</v>
      </c>
      <c r="C2080" s="1" t="str">
        <f>IFERROR(__xludf.DUMMYFUNCTION("""COMPUTED_VALUE"""),"control")</f>
        <v>control</v>
      </c>
      <c r="D2080" s="1" t="str">
        <f>IFERROR(__xludf.DUMMYFUNCTION("""COMPUTED_VALUE"""),"old_page")</f>
        <v>old_page</v>
      </c>
      <c r="E2080" s="1">
        <f>IFERROR(__xludf.DUMMYFUNCTION("""COMPUTED_VALUE"""),0.0)</f>
        <v>0</v>
      </c>
    </row>
    <row r="2081">
      <c r="A2081" s="1">
        <f>IFERROR(__xludf.DUMMYFUNCTION("""COMPUTED_VALUE"""),860042.0)</f>
        <v>860042</v>
      </c>
      <c r="B2081" s="2">
        <f>IFERROR(__xludf.DUMMYFUNCTION("""COMPUTED_VALUE"""),42751.39963387719)</f>
        <v>42751.39963</v>
      </c>
      <c r="C2081" s="1" t="str">
        <f>IFERROR(__xludf.DUMMYFUNCTION("""COMPUTED_VALUE"""),"control")</f>
        <v>control</v>
      </c>
      <c r="D2081" s="1" t="str">
        <f>IFERROR(__xludf.DUMMYFUNCTION("""COMPUTED_VALUE"""),"old_page")</f>
        <v>old_page</v>
      </c>
      <c r="E2081" s="1">
        <f>IFERROR(__xludf.DUMMYFUNCTION("""COMPUTED_VALUE"""),0.0)</f>
        <v>0</v>
      </c>
    </row>
    <row r="2082">
      <c r="A2082" s="1">
        <f>IFERROR(__xludf.DUMMYFUNCTION("""COMPUTED_VALUE"""),678019.0)</f>
        <v>678019</v>
      </c>
      <c r="B2082" s="2">
        <f>IFERROR(__xludf.DUMMYFUNCTION("""COMPUTED_VALUE"""),42758.5081557434)</f>
        <v>42758.50816</v>
      </c>
      <c r="C2082" s="1" t="str">
        <f>IFERROR(__xludf.DUMMYFUNCTION("""COMPUTED_VALUE"""),"control")</f>
        <v>control</v>
      </c>
      <c r="D2082" s="1" t="str">
        <f>IFERROR(__xludf.DUMMYFUNCTION("""COMPUTED_VALUE"""),"old_page")</f>
        <v>old_page</v>
      </c>
      <c r="E2082" s="1">
        <f>IFERROR(__xludf.DUMMYFUNCTION("""COMPUTED_VALUE"""),0.0)</f>
        <v>0</v>
      </c>
    </row>
    <row r="2083">
      <c r="A2083" s="1">
        <f>IFERROR(__xludf.DUMMYFUNCTION("""COMPUTED_VALUE"""),670424.0)</f>
        <v>670424</v>
      </c>
      <c r="B2083" s="2">
        <f>IFERROR(__xludf.DUMMYFUNCTION("""COMPUTED_VALUE"""),42744.80489038227)</f>
        <v>42744.80489</v>
      </c>
      <c r="C2083" s="1" t="str">
        <f>IFERROR(__xludf.DUMMYFUNCTION("""COMPUTED_VALUE"""),"control")</f>
        <v>control</v>
      </c>
      <c r="D2083" s="1" t="str">
        <f>IFERROR(__xludf.DUMMYFUNCTION("""COMPUTED_VALUE"""),"old_page")</f>
        <v>old_page</v>
      </c>
      <c r="E2083" s="1">
        <f>IFERROR(__xludf.DUMMYFUNCTION("""COMPUTED_VALUE"""),0.0)</f>
        <v>0</v>
      </c>
    </row>
    <row r="2084">
      <c r="A2084" s="1">
        <f>IFERROR(__xludf.DUMMYFUNCTION("""COMPUTED_VALUE"""),827555.0)</f>
        <v>827555</v>
      </c>
      <c r="B2084" s="2">
        <f>IFERROR(__xludf.DUMMYFUNCTION("""COMPUTED_VALUE"""),42741.703916561666)</f>
        <v>42741.70392</v>
      </c>
      <c r="C2084" s="1" t="str">
        <f>IFERROR(__xludf.DUMMYFUNCTION("""COMPUTED_VALUE"""),"control")</f>
        <v>control</v>
      </c>
      <c r="D2084" s="1" t="str">
        <f>IFERROR(__xludf.DUMMYFUNCTION("""COMPUTED_VALUE"""),"old_page")</f>
        <v>old_page</v>
      </c>
      <c r="E2084" s="1">
        <f>IFERROR(__xludf.DUMMYFUNCTION("""COMPUTED_VALUE"""),1.0)</f>
        <v>1</v>
      </c>
    </row>
    <row r="2085">
      <c r="A2085" s="1">
        <f>IFERROR(__xludf.DUMMYFUNCTION("""COMPUTED_VALUE"""),727729.0)</f>
        <v>727729</v>
      </c>
      <c r="B2085" s="2">
        <f>IFERROR(__xludf.DUMMYFUNCTION("""COMPUTED_VALUE"""),42748.874709896576)</f>
        <v>42748.87471</v>
      </c>
      <c r="C2085" s="1" t="str">
        <f>IFERROR(__xludf.DUMMYFUNCTION("""COMPUTED_VALUE"""),"treatment")</f>
        <v>treatment</v>
      </c>
      <c r="D2085" s="1" t="str">
        <f>IFERROR(__xludf.DUMMYFUNCTION("""COMPUTED_VALUE"""),"new_page")</f>
        <v>new_page</v>
      </c>
      <c r="E2085" s="1">
        <f>IFERROR(__xludf.DUMMYFUNCTION("""COMPUTED_VALUE"""),0.0)</f>
        <v>0</v>
      </c>
    </row>
    <row r="2086">
      <c r="A2086" s="1">
        <f>IFERROR(__xludf.DUMMYFUNCTION("""COMPUTED_VALUE"""),775104.0)</f>
        <v>775104</v>
      </c>
      <c r="B2086" s="2">
        <f>IFERROR(__xludf.DUMMYFUNCTION("""COMPUTED_VALUE"""),42758.478812999456)</f>
        <v>42758.47881</v>
      </c>
      <c r="C2086" s="1" t="str">
        <f>IFERROR(__xludf.DUMMYFUNCTION("""COMPUTED_VALUE"""),"treatment")</f>
        <v>treatment</v>
      </c>
      <c r="D2086" s="1" t="str">
        <f>IFERROR(__xludf.DUMMYFUNCTION("""COMPUTED_VALUE"""),"new_page")</f>
        <v>new_page</v>
      </c>
      <c r="E2086" s="1">
        <f>IFERROR(__xludf.DUMMYFUNCTION("""COMPUTED_VALUE"""),0.0)</f>
        <v>0</v>
      </c>
    </row>
    <row r="2087">
      <c r="A2087" s="1">
        <f>IFERROR(__xludf.DUMMYFUNCTION("""COMPUTED_VALUE"""),715805.0)</f>
        <v>715805</v>
      </c>
      <c r="B2087" s="2">
        <f>IFERROR(__xludf.DUMMYFUNCTION("""COMPUTED_VALUE"""),42749.6315728691)</f>
        <v>42749.63157</v>
      </c>
      <c r="C2087" s="1" t="str">
        <f>IFERROR(__xludf.DUMMYFUNCTION("""COMPUTED_VALUE"""),"treatment")</f>
        <v>treatment</v>
      </c>
      <c r="D2087" s="1" t="str">
        <f>IFERROR(__xludf.DUMMYFUNCTION("""COMPUTED_VALUE"""),"new_page")</f>
        <v>new_page</v>
      </c>
      <c r="E2087" s="1">
        <f>IFERROR(__xludf.DUMMYFUNCTION("""COMPUTED_VALUE"""),1.0)</f>
        <v>1</v>
      </c>
    </row>
    <row r="2088">
      <c r="A2088" s="1">
        <f>IFERROR(__xludf.DUMMYFUNCTION("""COMPUTED_VALUE"""),829558.0)</f>
        <v>829558</v>
      </c>
      <c r="B2088" s="2">
        <f>IFERROR(__xludf.DUMMYFUNCTION("""COMPUTED_VALUE"""),42741.11927806569)</f>
        <v>42741.11928</v>
      </c>
      <c r="C2088" s="1" t="str">
        <f>IFERROR(__xludf.DUMMYFUNCTION("""COMPUTED_VALUE"""),"treatment")</f>
        <v>treatment</v>
      </c>
      <c r="D2088" s="1" t="str">
        <f>IFERROR(__xludf.DUMMYFUNCTION("""COMPUTED_VALUE"""),"new_page")</f>
        <v>new_page</v>
      </c>
      <c r="E2088" s="1">
        <f>IFERROR(__xludf.DUMMYFUNCTION("""COMPUTED_VALUE"""),0.0)</f>
        <v>0</v>
      </c>
    </row>
    <row r="2089">
      <c r="A2089" s="1">
        <f>IFERROR(__xludf.DUMMYFUNCTION("""COMPUTED_VALUE"""),944106.0)</f>
        <v>944106</v>
      </c>
      <c r="B2089" s="2">
        <f>IFERROR(__xludf.DUMMYFUNCTION("""COMPUTED_VALUE"""),42756.78796671027)</f>
        <v>42756.78797</v>
      </c>
      <c r="C2089" s="1" t="str">
        <f>IFERROR(__xludf.DUMMYFUNCTION("""COMPUTED_VALUE"""),"treatment")</f>
        <v>treatment</v>
      </c>
      <c r="D2089" s="1" t="str">
        <f>IFERROR(__xludf.DUMMYFUNCTION("""COMPUTED_VALUE"""),"new_page")</f>
        <v>new_page</v>
      </c>
      <c r="E2089" s="1">
        <f>IFERROR(__xludf.DUMMYFUNCTION("""COMPUTED_VALUE"""),0.0)</f>
        <v>0</v>
      </c>
    </row>
    <row r="2090">
      <c r="A2090" s="1">
        <f>IFERROR(__xludf.DUMMYFUNCTION("""COMPUTED_VALUE"""),900461.0)</f>
        <v>900461</v>
      </c>
      <c r="B2090" s="2">
        <f>IFERROR(__xludf.DUMMYFUNCTION("""COMPUTED_VALUE"""),42746.99392892775)</f>
        <v>42746.99393</v>
      </c>
      <c r="C2090" s="1" t="str">
        <f>IFERROR(__xludf.DUMMYFUNCTION("""COMPUTED_VALUE"""),"treatment")</f>
        <v>treatment</v>
      </c>
      <c r="D2090" s="1" t="str">
        <f>IFERROR(__xludf.DUMMYFUNCTION("""COMPUTED_VALUE"""),"new_page")</f>
        <v>new_page</v>
      </c>
      <c r="E2090" s="1">
        <f>IFERROR(__xludf.DUMMYFUNCTION("""COMPUTED_VALUE"""),0.0)</f>
        <v>0</v>
      </c>
    </row>
    <row r="2091">
      <c r="A2091" s="1">
        <f>IFERROR(__xludf.DUMMYFUNCTION("""COMPUTED_VALUE"""),712349.0)</f>
        <v>712349</v>
      </c>
      <c r="B2091" s="2">
        <f>IFERROR(__xludf.DUMMYFUNCTION("""COMPUTED_VALUE"""),42744.113308454886)</f>
        <v>42744.11331</v>
      </c>
      <c r="C2091" s="1" t="str">
        <f>IFERROR(__xludf.DUMMYFUNCTION("""COMPUTED_VALUE"""),"treatment")</f>
        <v>treatment</v>
      </c>
      <c r="D2091" s="1" t="str">
        <f>IFERROR(__xludf.DUMMYFUNCTION("""COMPUTED_VALUE"""),"new_page")</f>
        <v>new_page</v>
      </c>
      <c r="E2091" s="1">
        <f>IFERROR(__xludf.DUMMYFUNCTION("""COMPUTED_VALUE"""),1.0)</f>
        <v>1</v>
      </c>
    </row>
    <row r="2092">
      <c r="A2092" s="1">
        <f>IFERROR(__xludf.DUMMYFUNCTION("""COMPUTED_VALUE"""),708763.0)</f>
        <v>708763</v>
      </c>
      <c r="B2092" s="2">
        <f>IFERROR(__xludf.DUMMYFUNCTION("""COMPUTED_VALUE"""),42749.17873247189)</f>
        <v>42749.17873</v>
      </c>
      <c r="C2092" s="1" t="str">
        <f>IFERROR(__xludf.DUMMYFUNCTION("""COMPUTED_VALUE"""),"control")</f>
        <v>control</v>
      </c>
      <c r="D2092" s="1" t="str">
        <f>IFERROR(__xludf.DUMMYFUNCTION("""COMPUTED_VALUE"""),"old_page")</f>
        <v>old_page</v>
      </c>
      <c r="E2092" s="1">
        <f>IFERROR(__xludf.DUMMYFUNCTION("""COMPUTED_VALUE"""),0.0)</f>
        <v>0</v>
      </c>
    </row>
    <row r="2093">
      <c r="A2093" s="1">
        <f>IFERROR(__xludf.DUMMYFUNCTION("""COMPUTED_VALUE"""),843144.0)</f>
        <v>843144</v>
      </c>
      <c r="B2093" s="2">
        <f>IFERROR(__xludf.DUMMYFUNCTION("""COMPUTED_VALUE"""),42745.58336512345)</f>
        <v>42745.58337</v>
      </c>
      <c r="C2093" s="1" t="str">
        <f>IFERROR(__xludf.DUMMYFUNCTION("""COMPUTED_VALUE"""),"control")</f>
        <v>control</v>
      </c>
      <c r="D2093" s="1" t="str">
        <f>IFERROR(__xludf.DUMMYFUNCTION("""COMPUTED_VALUE"""),"old_page")</f>
        <v>old_page</v>
      </c>
      <c r="E2093" s="1">
        <f>IFERROR(__xludf.DUMMYFUNCTION("""COMPUTED_VALUE"""),0.0)</f>
        <v>0</v>
      </c>
    </row>
    <row r="2094">
      <c r="A2094" s="1">
        <f>IFERROR(__xludf.DUMMYFUNCTION("""COMPUTED_VALUE"""),743573.0)</f>
        <v>743573</v>
      </c>
      <c r="B2094" s="2">
        <f>IFERROR(__xludf.DUMMYFUNCTION("""COMPUTED_VALUE"""),42750.11750199369)</f>
        <v>42750.1175</v>
      </c>
      <c r="C2094" s="1" t="str">
        <f>IFERROR(__xludf.DUMMYFUNCTION("""COMPUTED_VALUE"""),"treatment")</f>
        <v>treatment</v>
      </c>
      <c r="D2094" s="1" t="str">
        <f>IFERROR(__xludf.DUMMYFUNCTION("""COMPUTED_VALUE"""),"new_page")</f>
        <v>new_page</v>
      </c>
      <c r="E2094" s="1">
        <f>IFERROR(__xludf.DUMMYFUNCTION("""COMPUTED_VALUE"""),0.0)</f>
        <v>0</v>
      </c>
    </row>
    <row r="2095">
      <c r="A2095" s="1">
        <f>IFERROR(__xludf.DUMMYFUNCTION("""COMPUTED_VALUE"""),833368.0)</f>
        <v>833368</v>
      </c>
      <c r="B2095" s="2">
        <f>IFERROR(__xludf.DUMMYFUNCTION("""COMPUTED_VALUE"""),42739.15542291708)</f>
        <v>42739.15542</v>
      </c>
      <c r="C2095" s="1" t="str">
        <f>IFERROR(__xludf.DUMMYFUNCTION("""COMPUTED_VALUE"""),"control")</f>
        <v>control</v>
      </c>
      <c r="D2095" s="1" t="str">
        <f>IFERROR(__xludf.DUMMYFUNCTION("""COMPUTED_VALUE"""),"old_page")</f>
        <v>old_page</v>
      </c>
      <c r="E2095" s="1">
        <f>IFERROR(__xludf.DUMMYFUNCTION("""COMPUTED_VALUE"""),0.0)</f>
        <v>0</v>
      </c>
    </row>
    <row r="2096">
      <c r="A2096" s="1">
        <f>IFERROR(__xludf.DUMMYFUNCTION("""COMPUTED_VALUE"""),892002.0)</f>
        <v>892002</v>
      </c>
      <c r="B2096" s="2">
        <f>IFERROR(__xludf.DUMMYFUNCTION("""COMPUTED_VALUE"""),42757.11453372355)</f>
        <v>42757.11453</v>
      </c>
      <c r="C2096" s="1" t="str">
        <f>IFERROR(__xludf.DUMMYFUNCTION("""COMPUTED_VALUE"""),"control")</f>
        <v>control</v>
      </c>
      <c r="D2096" s="1" t="str">
        <f>IFERROR(__xludf.DUMMYFUNCTION("""COMPUTED_VALUE"""),"old_page")</f>
        <v>old_page</v>
      </c>
      <c r="E2096" s="1">
        <f>IFERROR(__xludf.DUMMYFUNCTION("""COMPUTED_VALUE"""),0.0)</f>
        <v>0</v>
      </c>
    </row>
    <row r="2097">
      <c r="A2097" s="1">
        <f>IFERROR(__xludf.DUMMYFUNCTION("""COMPUTED_VALUE"""),880711.0)</f>
        <v>880711</v>
      </c>
      <c r="B2097" s="2">
        <f>IFERROR(__xludf.DUMMYFUNCTION("""COMPUTED_VALUE"""),42742.714354028816)</f>
        <v>42742.71435</v>
      </c>
      <c r="C2097" s="1" t="str">
        <f>IFERROR(__xludf.DUMMYFUNCTION("""COMPUTED_VALUE"""),"control")</f>
        <v>control</v>
      </c>
      <c r="D2097" s="1" t="str">
        <f>IFERROR(__xludf.DUMMYFUNCTION("""COMPUTED_VALUE"""),"old_page")</f>
        <v>old_page</v>
      </c>
      <c r="E2097" s="1">
        <f>IFERROR(__xludf.DUMMYFUNCTION("""COMPUTED_VALUE"""),0.0)</f>
        <v>0</v>
      </c>
    </row>
    <row r="2098">
      <c r="A2098" s="1">
        <f>IFERROR(__xludf.DUMMYFUNCTION("""COMPUTED_VALUE"""),812632.0)</f>
        <v>812632</v>
      </c>
      <c r="B2098" s="2">
        <f>IFERROR(__xludf.DUMMYFUNCTION("""COMPUTED_VALUE"""),42754.060017685)</f>
        <v>42754.06002</v>
      </c>
      <c r="C2098" s="1" t="str">
        <f>IFERROR(__xludf.DUMMYFUNCTION("""COMPUTED_VALUE"""),"control")</f>
        <v>control</v>
      </c>
      <c r="D2098" s="1" t="str">
        <f>IFERROR(__xludf.DUMMYFUNCTION("""COMPUTED_VALUE"""),"old_page")</f>
        <v>old_page</v>
      </c>
      <c r="E2098" s="1">
        <f>IFERROR(__xludf.DUMMYFUNCTION("""COMPUTED_VALUE"""),0.0)</f>
        <v>0</v>
      </c>
    </row>
    <row r="2099">
      <c r="A2099" s="1">
        <f>IFERROR(__xludf.DUMMYFUNCTION("""COMPUTED_VALUE"""),666472.0)</f>
        <v>666472</v>
      </c>
      <c r="B2099" s="2">
        <f>IFERROR(__xludf.DUMMYFUNCTION("""COMPUTED_VALUE"""),42740.99605115846)</f>
        <v>42740.99605</v>
      </c>
      <c r="C2099" s="1" t="str">
        <f>IFERROR(__xludf.DUMMYFUNCTION("""COMPUTED_VALUE"""),"control")</f>
        <v>control</v>
      </c>
      <c r="D2099" s="1" t="str">
        <f>IFERROR(__xludf.DUMMYFUNCTION("""COMPUTED_VALUE"""),"old_page")</f>
        <v>old_page</v>
      </c>
      <c r="E2099" s="1">
        <f>IFERROR(__xludf.DUMMYFUNCTION("""COMPUTED_VALUE"""),0.0)</f>
        <v>0</v>
      </c>
    </row>
    <row r="2100">
      <c r="A2100" s="1">
        <f>IFERROR(__xludf.DUMMYFUNCTION("""COMPUTED_VALUE"""),639617.0)</f>
        <v>639617</v>
      </c>
      <c r="B2100" s="2">
        <f>IFERROR(__xludf.DUMMYFUNCTION("""COMPUTED_VALUE"""),42755.19442191814)</f>
        <v>42755.19442</v>
      </c>
      <c r="C2100" s="1" t="str">
        <f>IFERROR(__xludf.DUMMYFUNCTION("""COMPUTED_VALUE"""),"treatment")</f>
        <v>treatment</v>
      </c>
      <c r="D2100" s="1" t="str">
        <f>IFERROR(__xludf.DUMMYFUNCTION("""COMPUTED_VALUE"""),"new_page")</f>
        <v>new_page</v>
      </c>
      <c r="E2100" s="1">
        <f>IFERROR(__xludf.DUMMYFUNCTION("""COMPUTED_VALUE"""),0.0)</f>
        <v>0</v>
      </c>
    </row>
    <row r="2101">
      <c r="A2101" s="1">
        <f>IFERROR(__xludf.DUMMYFUNCTION("""COMPUTED_VALUE"""),847004.0)</f>
        <v>847004</v>
      </c>
      <c r="B2101" s="2">
        <f>IFERROR(__xludf.DUMMYFUNCTION("""COMPUTED_VALUE"""),42756.64399117208)</f>
        <v>42756.64399</v>
      </c>
      <c r="C2101" s="1" t="str">
        <f>IFERROR(__xludf.DUMMYFUNCTION("""COMPUTED_VALUE"""),"control")</f>
        <v>control</v>
      </c>
      <c r="D2101" s="1" t="str">
        <f>IFERROR(__xludf.DUMMYFUNCTION("""COMPUTED_VALUE"""),"old_page")</f>
        <v>old_page</v>
      </c>
      <c r="E2101" s="1">
        <f>IFERROR(__xludf.DUMMYFUNCTION("""COMPUTED_VALUE"""),0.0)</f>
        <v>0</v>
      </c>
    </row>
    <row r="2102">
      <c r="A2102" s="1">
        <f>IFERROR(__xludf.DUMMYFUNCTION("""COMPUTED_VALUE"""),859463.0)</f>
        <v>859463</v>
      </c>
      <c r="B2102" s="2">
        <f>IFERROR(__xludf.DUMMYFUNCTION("""COMPUTED_VALUE"""),42753.62251621867)</f>
        <v>42753.62252</v>
      </c>
      <c r="C2102" s="1" t="str">
        <f>IFERROR(__xludf.DUMMYFUNCTION("""COMPUTED_VALUE"""),"treatment")</f>
        <v>treatment</v>
      </c>
      <c r="D2102" s="1" t="str">
        <f>IFERROR(__xludf.DUMMYFUNCTION("""COMPUTED_VALUE"""),"new_page")</f>
        <v>new_page</v>
      </c>
      <c r="E2102" s="1">
        <f>IFERROR(__xludf.DUMMYFUNCTION("""COMPUTED_VALUE"""),0.0)</f>
        <v>0</v>
      </c>
    </row>
    <row r="2103">
      <c r="A2103" s="1">
        <f>IFERROR(__xludf.DUMMYFUNCTION("""COMPUTED_VALUE"""),907855.0)</f>
        <v>907855</v>
      </c>
      <c r="B2103" s="2">
        <f>IFERROR(__xludf.DUMMYFUNCTION("""COMPUTED_VALUE"""),42752.718990882895)</f>
        <v>42752.71899</v>
      </c>
      <c r="C2103" s="1" t="str">
        <f>IFERROR(__xludf.DUMMYFUNCTION("""COMPUTED_VALUE"""),"control")</f>
        <v>control</v>
      </c>
      <c r="D2103" s="1" t="str">
        <f>IFERROR(__xludf.DUMMYFUNCTION("""COMPUTED_VALUE"""),"old_page")</f>
        <v>old_page</v>
      </c>
      <c r="E2103" s="1">
        <f>IFERROR(__xludf.DUMMYFUNCTION("""COMPUTED_VALUE"""),0.0)</f>
        <v>0</v>
      </c>
    </row>
    <row r="2104">
      <c r="A2104" s="1">
        <f>IFERROR(__xludf.DUMMYFUNCTION("""COMPUTED_VALUE"""),929899.0)</f>
        <v>929899</v>
      </c>
      <c r="B2104" s="2">
        <f>IFERROR(__xludf.DUMMYFUNCTION("""COMPUTED_VALUE"""),42739.65558350772)</f>
        <v>42739.65558</v>
      </c>
      <c r="C2104" s="1" t="str">
        <f>IFERROR(__xludf.DUMMYFUNCTION("""COMPUTED_VALUE"""),"control")</f>
        <v>control</v>
      </c>
      <c r="D2104" s="1" t="str">
        <f>IFERROR(__xludf.DUMMYFUNCTION("""COMPUTED_VALUE"""),"old_page")</f>
        <v>old_page</v>
      </c>
      <c r="E2104" s="1">
        <f>IFERROR(__xludf.DUMMYFUNCTION("""COMPUTED_VALUE"""),0.0)</f>
        <v>0</v>
      </c>
    </row>
    <row r="2105">
      <c r="A2105" s="1">
        <f>IFERROR(__xludf.DUMMYFUNCTION("""COMPUTED_VALUE"""),715354.0)</f>
        <v>715354</v>
      </c>
      <c r="B2105" s="2">
        <f>IFERROR(__xludf.DUMMYFUNCTION("""COMPUTED_VALUE"""),42756.037487587295)</f>
        <v>42756.03749</v>
      </c>
      <c r="C2105" s="1" t="str">
        <f>IFERROR(__xludf.DUMMYFUNCTION("""COMPUTED_VALUE"""),"control")</f>
        <v>control</v>
      </c>
      <c r="D2105" s="1" t="str">
        <f>IFERROR(__xludf.DUMMYFUNCTION("""COMPUTED_VALUE"""),"old_page")</f>
        <v>old_page</v>
      </c>
      <c r="E2105" s="1">
        <f>IFERROR(__xludf.DUMMYFUNCTION("""COMPUTED_VALUE"""),1.0)</f>
        <v>1</v>
      </c>
    </row>
    <row r="2106">
      <c r="A2106" s="1">
        <f>IFERROR(__xludf.DUMMYFUNCTION("""COMPUTED_VALUE"""),669799.0)</f>
        <v>669799</v>
      </c>
      <c r="B2106" s="2">
        <f>IFERROR(__xludf.DUMMYFUNCTION("""COMPUTED_VALUE"""),42752.6348973983)</f>
        <v>42752.6349</v>
      </c>
      <c r="C2106" s="1" t="str">
        <f>IFERROR(__xludf.DUMMYFUNCTION("""COMPUTED_VALUE"""),"control")</f>
        <v>control</v>
      </c>
      <c r="D2106" s="1" t="str">
        <f>IFERROR(__xludf.DUMMYFUNCTION("""COMPUTED_VALUE"""),"old_page")</f>
        <v>old_page</v>
      </c>
      <c r="E2106" s="1">
        <f>IFERROR(__xludf.DUMMYFUNCTION("""COMPUTED_VALUE"""),0.0)</f>
        <v>0</v>
      </c>
    </row>
    <row r="2107">
      <c r="A2107" s="1">
        <f>IFERROR(__xludf.DUMMYFUNCTION("""COMPUTED_VALUE"""),817933.0)</f>
        <v>817933</v>
      </c>
      <c r="B2107" s="2">
        <f>IFERROR(__xludf.DUMMYFUNCTION("""COMPUTED_VALUE"""),42749.93026652212)</f>
        <v>42749.93027</v>
      </c>
      <c r="C2107" s="1" t="str">
        <f>IFERROR(__xludf.DUMMYFUNCTION("""COMPUTED_VALUE"""),"treatment")</f>
        <v>treatment</v>
      </c>
      <c r="D2107" s="1" t="str">
        <f>IFERROR(__xludf.DUMMYFUNCTION("""COMPUTED_VALUE"""),"new_page")</f>
        <v>new_page</v>
      </c>
      <c r="E2107" s="1">
        <f>IFERROR(__xludf.DUMMYFUNCTION("""COMPUTED_VALUE"""),1.0)</f>
        <v>1</v>
      </c>
    </row>
    <row r="2108">
      <c r="A2108" s="1">
        <f>IFERROR(__xludf.DUMMYFUNCTION("""COMPUTED_VALUE"""),694919.0)</f>
        <v>694919</v>
      </c>
      <c r="B2108" s="2">
        <f>IFERROR(__xludf.DUMMYFUNCTION("""COMPUTED_VALUE"""),42738.43619339749)</f>
        <v>42738.43619</v>
      </c>
      <c r="C2108" s="1" t="str">
        <f>IFERROR(__xludf.DUMMYFUNCTION("""COMPUTED_VALUE"""),"control")</f>
        <v>control</v>
      </c>
      <c r="D2108" s="1" t="str">
        <f>IFERROR(__xludf.DUMMYFUNCTION("""COMPUTED_VALUE"""),"old_page")</f>
        <v>old_page</v>
      </c>
      <c r="E2108" s="1">
        <f>IFERROR(__xludf.DUMMYFUNCTION("""COMPUTED_VALUE"""),0.0)</f>
        <v>0</v>
      </c>
    </row>
    <row r="2109">
      <c r="A2109" s="1">
        <f>IFERROR(__xludf.DUMMYFUNCTION("""COMPUTED_VALUE"""),828425.0)</f>
        <v>828425</v>
      </c>
      <c r="B2109" s="2">
        <f>IFERROR(__xludf.DUMMYFUNCTION("""COMPUTED_VALUE"""),42754.54831087276)</f>
        <v>42754.54831</v>
      </c>
      <c r="C2109" s="1" t="str">
        <f>IFERROR(__xludf.DUMMYFUNCTION("""COMPUTED_VALUE"""),"control")</f>
        <v>control</v>
      </c>
      <c r="D2109" s="1" t="str">
        <f>IFERROR(__xludf.DUMMYFUNCTION("""COMPUTED_VALUE"""),"old_page")</f>
        <v>old_page</v>
      </c>
      <c r="E2109" s="1">
        <f>IFERROR(__xludf.DUMMYFUNCTION("""COMPUTED_VALUE"""),0.0)</f>
        <v>0</v>
      </c>
    </row>
    <row r="2110">
      <c r="A2110" s="1">
        <f>IFERROR(__xludf.DUMMYFUNCTION("""COMPUTED_VALUE"""),649949.0)</f>
        <v>649949</v>
      </c>
      <c r="B2110" s="2">
        <f>IFERROR(__xludf.DUMMYFUNCTION("""COMPUTED_VALUE"""),42752.75377918403)</f>
        <v>42752.75378</v>
      </c>
      <c r="C2110" s="1" t="str">
        <f>IFERROR(__xludf.DUMMYFUNCTION("""COMPUTED_VALUE"""),"treatment")</f>
        <v>treatment</v>
      </c>
      <c r="D2110" s="1" t="str">
        <f>IFERROR(__xludf.DUMMYFUNCTION("""COMPUTED_VALUE"""),"new_page")</f>
        <v>new_page</v>
      </c>
      <c r="E2110" s="1">
        <f>IFERROR(__xludf.DUMMYFUNCTION("""COMPUTED_VALUE"""),0.0)</f>
        <v>0</v>
      </c>
    </row>
    <row r="2111">
      <c r="A2111" s="1">
        <f>IFERROR(__xludf.DUMMYFUNCTION("""COMPUTED_VALUE"""),635467.0)</f>
        <v>635467</v>
      </c>
      <c r="B2111" s="2">
        <f>IFERROR(__xludf.DUMMYFUNCTION("""COMPUTED_VALUE"""),42740.73827591805)</f>
        <v>42740.73828</v>
      </c>
      <c r="C2111" s="1" t="str">
        <f>IFERROR(__xludf.DUMMYFUNCTION("""COMPUTED_VALUE"""),"control")</f>
        <v>control</v>
      </c>
      <c r="D2111" s="1" t="str">
        <f>IFERROR(__xludf.DUMMYFUNCTION("""COMPUTED_VALUE"""),"old_page")</f>
        <v>old_page</v>
      </c>
      <c r="E2111" s="1">
        <f>IFERROR(__xludf.DUMMYFUNCTION("""COMPUTED_VALUE"""),0.0)</f>
        <v>0</v>
      </c>
    </row>
    <row r="2112">
      <c r="A2112" s="1">
        <f>IFERROR(__xludf.DUMMYFUNCTION("""COMPUTED_VALUE"""),862874.0)</f>
        <v>862874</v>
      </c>
      <c r="B2112" s="2">
        <f>IFERROR(__xludf.DUMMYFUNCTION("""COMPUTED_VALUE"""),42741.93741263003)</f>
        <v>42741.93741</v>
      </c>
      <c r="C2112" s="1" t="str">
        <f>IFERROR(__xludf.DUMMYFUNCTION("""COMPUTED_VALUE"""),"control")</f>
        <v>control</v>
      </c>
      <c r="D2112" s="1" t="str">
        <f>IFERROR(__xludf.DUMMYFUNCTION("""COMPUTED_VALUE"""),"old_page")</f>
        <v>old_page</v>
      </c>
      <c r="E2112" s="1">
        <f>IFERROR(__xludf.DUMMYFUNCTION("""COMPUTED_VALUE"""),0.0)</f>
        <v>0</v>
      </c>
    </row>
    <row r="2113">
      <c r="A2113" s="1">
        <f>IFERROR(__xludf.DUMMYFUNCTION("""COMPUTED_VALUE"""),663951.0)</f>
        <v>663951</v>
      </c>
      <c r="B2113" s="2">
        <f>IFERROR(__xludf.DUMMYFUNCTION("""COMPUTED_VALUE"""),42739.58868523383)</f>
        <v>42739.58869</v>
      </c>
      <c r="C2113" s="1" t="str">
        <f>IFERROR(__xludf.DUMMYFUNCTION("""COMPUTED_VALUE"""),"control")</f>
        <v>control</v>
      </c>
      <c r="D2113" s="1" t="str">
        <f>IFERROR(__xludf.DUMMYFUNCTION("""COMPUTED_VALUE"""),"old_page")</f>
        <v>old_page</v>
      </c>
      <c r="E2113" s="1">
        <f>IFERROR(__xludf.DUMMYFUNCTION("""COMPUTED_VALUE"""),0.0)</f>
        <v>0</v>
      </c>
    </row>
    <row r="2114">
      <c r="A2114" s="1">
        <f>IFERROR(__xludf.DUMMYFUNCTION("""COMPUTED_VALUE"""),901670.0)</f>
        <v>901670</v>
      </c>
      <c r="B2114" s="2">
        <f>IFERROR(__xludf.DUMMYFUNCTION("""COMPUTED_VALUE"""),42745.33330290479)</f>
        <v>42745.3333</v>
      </c>
      <c r="C2114" s="1" t="str">
        <f>IFERROR(__xludf.DUMMYFUNCTION("""COMPUTED_VALUE"""),"treatment")</f>
        <v>treatment</v>
      </c>
      <c r="D2114" s="1" t="str">
        <f>IFERROR(__xludf.DUMMYFUNCTION("""COMPUTED_VALUE"""),"new_page")</f>
        <v>new_page</v>
      </c>
      <c r="E2114" s="1">
        <f>IFERROR(__xludf.DUMMYFUNCTION("""COMPUTED_VALUE"""),0.0)</f>
        <v>0</v>
      </c>
    </row>
    <row r="2115">
      <c r="A2115" s="1">
        <f>IFERROR(__xludf.DUMMYFUNCTION("""COMPUTED_VALUE"""),866886.0)</f>
        <v>866886</v>
      </c>
      <c r="B2115" s="2">
        <f>IFERROR(__xludf.DUMMYFUNCTION("""COMPUTED_VALUE"""),42742.55243497978)</f>
        <v>42742.55243</v>
      </c>
      <c r="C2115" s="1" t="str">
        <f>IFERROR(__xludf.DUMMYFUNCTION("""COMPUTED_VALUE"""),"control")</f>
        <v>control</v>
      </c>
      <c r="D2115" s="1" t="str">
        <f>IFERROR(__xludf.DUMMYFUNCTION("""COMPUTED_VALUE"""),"old_page")</f>
        <v>old_page</v>
      </c>
      <c r="E2115" s="1">
        <f>IFERROR(__xludf.DUMMYFUNCTION("""COMPUTED_VALUE"""),0.0)</f>
        <v>0</v>
      </c>
    </row>
    <row r="2116">
      <c r="A2116" s="1">
        <f>IFERROR(__xludf.DUMMYFUNCTION("""COMPUTED_VALUE"""),834960.0)</f>
        <v>834960</v>
      </c>
      <c r="B2116" s="2">
        <f>IFERROR(__xludf.DUMMYFUNCTION("""COMPUTED_VALUE"""),42757.44059508744)</f>
        <v>42757.4406</v>
      </c>
      <c r="C2116" s="1" t="str">
        <f>IFERROR(__xludf.DUMMYFUNCTION("""COMPUTED_VALUE"""),"treatment")</f>
        <v>treatment</v>
      </c>
      <c r="D2116" s="1" t="str">
        <f>IFERROR(__xludf.DUMMYFUNCTION("""COMPUTED_VALUE"""),"new_page")</f>
        <v>new_page</v>
      </c>
      <c r="E2116" s="1">
        <f>IFERROR(__xludf.DUMMYFUNCTION("""COMPUTED_VALUE"""),0.0)</f>
        <v>0</v>
      </c>
    </row>
    <row r="2117">
      <c r="A2117" s="1">
        <f>IFERROR(__xludf.DUMMYFUNCTION("""COMPUTED_VALUE"""),863315.0)</f>
        <v>863315</v>
      </c>
      <c r="B2117" s="2">
        <f>IFERROR(__xludf.DUMMYFUNCTION("""COMPUTED_VALUE"""),42744.09632004735)</f>
        <v>42744.09632</v>
      </c>
      <c r="C2117" s="1" t="str">
        <f>IFERROR(__xludf.DUMMYFUNCTION("""COMPUTED_VALUE"""),"control")</f>
        <v>control</v>
      </c>
      <c r="D2117" s="1" t="str">
        <f>IFERROR(__xludf.DUMMYFUNCTION("""COMPUTED_VALUE"""),"old_page")</f>
        <v>old_page</v>
      </c>
      <c r="E2117" s="1">
        <f>IFERROR(__xludf.DUMMYFUNCTION("""COMPUTED_VALUE"""),0.0)</f>
        <v>0</v>
      </c>
    </row>
    <row r="2118">
      <c r="A2118" s="1">
        <f>IFERROR(__xludf.DUMMYFUNCTION("""COMPUTED_VALUE"""),922898.0)</f>
        <v>922898</v>
      </c>
      <c r="B2118" s="2">
        <f>IFERROR(__xludf.DUMMYFUNCTION("""COMPUTED_VALUE"""),42745.33460345061)</f>
        <v>42745.3346</v>
      </c>
      <c r="C2118" s="1" t="str">
        <f>IFERROR(__xludf.DUMMYFUNCTION("""COMPUTED_VALUE"""),"control")</f>
        <v>control</v>
      </c>
      <c r="D2118" s="1" t="str">
        <f>IFERROR(__xludf.DUMMYFUNCTION("""COMPUTED_VALUE"""),"old_page")</f>
        <v>old_page</v>
      </c>
      <c r="E2118" s="1">
        <f>IFERROR(__xludf.DUMMYFUNCTION("""COMPUTED_VALUE"""),0.0)</f>
        <v>0</v>
      </c>
    </row>
    <row r="2119">
      <c r="A2119" s="1">
        <f>IFERROR(__xludf.DUMMYFUNCTION("""COMPUTED_VALUE"""),818589.0)</f>
        <v>818589</v>
      </c>
      <c r="B2119" s="2">
        <f>IFERROR(__xludf.DUMMYFUNCTION("""COMPUTED_VALUE"""),42755.0691284354)</f>
        <v>42755.06913</v>
      </c>
      <c r="C2119" s="1" t="str">
        <f>IFERROR(__xludf.DUMMYFUNCTION("""COMPUTED_VALUE"""),"control")</f>
        <v>control</v>
      </c>
      <c r="D2119" s="1" t="str">
        <f>IFERROR(__xludf.DUMMYFUNCTION("""COMPUTED_VALUE"""),"old_page")</f>
        <v>old_page</v>
      </c>
      <c r="E2119" s="1">
        <f>IFERROR(__xludf.DUMMYFUNCTION("""COMPUTED_VALUE"""),0.0)</f>
        <v>0</v>
      </c>
    </row>
    <row r="2120">
      <c r="A2120" s="1">
        <f>IFERROR(__xludf.DUMMYFUNCTION("""COMPUTED_VALUE"""),738864.0)</f>
        <v>738864</v>
      </c>
      <c r="B2120" s="2">
        <f>IFERROR(__xludf.DUMMYFUNCTION("""COMPUTED_VALUE"""),42749.660782932675)</f>
        <v>42749.66078</v>
      </c>
      <c r="C2120" s="1" t="str">
        <f>IFERROR(__xludf.DUMMYFUNCTION("""COMPUTED_VALUE"""),"treatment")</f>
        <v>treatment</v>
      </c>
      <c r="D2120" s="1" t="str">
        <f>IFERROR(__xludf.DUMMYFUNCTION("""COMPUTED_VALUE"""),"new_page")</f>
        <v>new_page</v>
      </c>
      <c r="E2120" s="1">
        <f>IFERROR(__xludf.DUMMYFUNCTION("""COMPUTED_VALUE"""),0.0)</f>
        <v>0</v>
      </c>
    </row>
    <row r="2121">
      <c r="A2121" s="1">
        <f>IFERROR(__xludf.DUMMYFUNCTION("""COMPUTED_VALUE"""),868083.0)</f>
        <v>868083</v>
      </c>
      <c r="B2121" s="2">
        <f>IFERROR(__xludf.DUMMYFUNCTION("""COMPUTED_VALUE"""),42756.4170404478)</f>
        <v>42756.41704</v>
      </c>
      <c r="C2121" s="1" t="str">
        <f>IFERROR(__xludf.DUMMYFUNCTION("""COMPUTED_VALUE"""),"treatment")</f>
        <v>treatment</v>
      </c>
      <c r="D2121" s="1" t="str">
        <f>IFERROR(__xludf.DUMMYFUNCTION("""COMPUTED_VALUE"""),"new_page")</f>
        <v>new_page</v>
      </c>
      <c r="E2121" s="1">
        <f>IFERROR(__xludf.DUMMYFUNCTION("""COMPUTED_VALUE"""),0.0)</f>
        <v>0</v>
      </c>
    </row>
    <row r="2122">
      <c r="A2122" s="1">
        <f>IFERROR(__xludf.DUMMYFUNCTION("""COMPUTED_VALUE"""),922078.0)</f>
        <v>922078</v>
      </c>
      <c r="B2122" s="2">
        <f>IFERROR(__xludf.DUMMYFUNCTION("""COMPUTED_VALUE"""),42758.9949221536)</f>
        <v>42758.99492</v>
      </c>
      <c r="C2122" s="1" t="str">
        <f>IFERROR(__xludf.DUMMYFUNCTION("""COMPUTED_VALUE"""),"treatment")</f>
        <v>treatment</v>
      </c>
      <c r="D2122" s="1" t="str">
        <f>IFERROR(__xludf.DUMMYFUNCTION("""COMPUTED_VALUE"""),"new_page")</f>
        <v>new_page</v>
      </c>
      <c r="E2122" s="1">
        <f>IFERROR(__xludf.DUMMYFUNCTION("""COMPUTED_VALUE"""),0.0)</f>
        <v>0</v>
      </c>
    </row>
    <row r="2123">
      <c r="A2123" s="1">
        <f>IFERROR(__xludf.DUMMYFUNCTION("""COMPUTED_VALUE"""),745584.0)</f>
        <v>745584</v>
      </c>
      <c r="B2123" s="2">
        <f>IFERROR(__xludf.DUMMYFUNCTION("""COMPUTED_VALUE"""),42751.55781794683)</f>
        <v>42751.55782</v>
      </c>
      <c r="C2123" s="1" t="str">
        <f>IFERROR(__xludf.DUMMYFUNCTION("""COMPUTED_VALUE"""),"treatment")</f>
        <v>treatment</v>
      </c>
      <c r="D2123" s="1" t="str">
        <f>IFERROR(__xludf.DUMMYFUNCTION("""COMPUTED_VALUE"""),"new_page")</f>
        <v>new_page</v>
      </c>
      <c r="E2123" s="1">
        <f>IFERROR(__xludf.DUMMYFUNCTION("""COMPUTED_VALUE"""),0.0)</f>
        <v>0</v>
      </c>
    </row>
    <row r="2124">
      <c r="A2124" s="1">
        <f>IFERROR(__xludf.DUMMYFUNCTION("""COMPUTED_VALUE"""),831842.0)</f>
        <v>831842</v>
      </c>
      <c r="B2124" s="2">
        <f>IFERROR(__xludf.DUMMYFUNCTION("""COMPUTED_VALUE"""),42738.93944372099)</f>
        <v>42738.93944</v>
      </c>
      <c r="C2124" s="1" t="str">
        <f>IFERROR(__xludf.DUMMYFUNCTION("""COMPUTED_VALUE"""),"treatment")</f>
        <v>treatment</v>
      </c>
      <c r="D2124" s="1" t="str">
        <f>IFERROR(__xludf.DUMMYFUNCTION("""COMPUTED_VALUE"""),"new_page")</f>
        <v>new_page</v>
      </c>
      <c r="E2124" s="1">
        <f>IFERROR(__xludf.DUMMYFUNCTION("""COMPUTED_VALUE"""),0.0)</f>
        <v>0</v>
      </c>
    </row>
    <row r="2125">
      <c r="A2125" s="1">
        <f>IFERROR(__xludf.DUMMYFUNCTION("""COMPUTED_VALUE"""),632029.0)</f>
        <v>632029</v>
      </c>
      <c r="B2125" s="2">
        <f>IFERROR(__xludf.DUMMYFUNCTION("""COMPUTED_VALUE"""),42755.86815819156)</f>
        <v>42755.86816</v>
      </c>
      <c r="C2125" s="1" t="str">
        <f>IFERROR(__xludf.DUMMYFUNCTION("""COMPUTED_VALUE"""),"control")</f>
        <v>control</v>
      </c>
      <c r="D2125" s="1" t="str">
        <f>IFERROR(__xludf.DUMMYFUNCTION("""COMPUTED_VALUE"""),"old_page")</f>
        <v>old_page</v>
      </c>
      <c r="E2125" s="1">
        <f>IFERROR(__xludf.DUMMYFUNCTION("""COMPUTED_VALUE"""),1.0)</f>
        <v>1</v>
      </c>
    </row>
    <row r="2126">
      <c r="A2126" s="1">
        <f>IFERROR(__xludf.DUMMYFUNCTION("""COMPUTED_VALUE"""),781550.0)</f>
        <v>781550</v>
      </c>
      <c r="B2126" s="2">
        <f>IFERROR(__xludf.DUMMYFUNCTION("""COMPUTED_VALUE"""),42749.56914764083)</f>
        <v>42749.56915</v>
      </c>
      <c r="C2126" s="1" t="str">
        <f>IFERROR(__xludf.DUMMYFUNCTION("""COMPUTED_VALUE"""),"treatment")</f>
        <v>treatment</v>
      </c>
      <c r="D2126" s="1" t="str">
        <f>IFERROR(__xludf.DUMMYFUNCTION("""COMPUTED_VALUE"""),"new_page")</f>
        <v>new_page</v>
      </c>
      <c r="E2126" s="1">
        <f>IFERROR(__xludf.DUMMYFUNCTION("""COMPUTED_VALUE"""),0.0)</f>
        <v>0</v>
      </c>
    </row>
    <row r="2127">
      <c r="A2127" s="1">
        <f>IFERROR(__xludf.DUMMYFUNCTION("""COMPUTED_VALUE"""),806826.0)</f>
        <v>806826</v>
      </c>
      <c r="B2127" s="2">
        <f>IFERROR(__xludf.DUMMYFUNCTION("""COMPUTED_VALUE"""),42746.53568912014)</f>
        <v>42746.53569</v>
      </c>
      <c r="C2127" s="1" t="str">
        <f>IFERROR(__xludf.DUMMYFUNCTION("""COMPUTED_VALUE"""),"control")</f>
        <v>control</v>
      </c>
      <c r="D2127" s="1" t="str">
        <f>IFERROR(__xludf.DUMMYFUNCTION("""COMPUTED_VALUE"""),"old_page")</f>
        <v>old_page</v>
      </c>
      <c r="E2127" s="1">
        <f>IFERROR(__xludf.DUMMYFUNCTION("""COMPUTED_VALUE"""),0.0)</f>
        <v>0</v>
      </c>
    </row>
    <row r="2128">
      <c r="A2128" s="1">
        <f>IFERROR(__xludf.DUMMYFUNCTION("""COMPUTED_VALUE"""),847512.0)</f>
        <v>847512</v>
      </c>
      <c r="B2128" s="2">
        <f>IFERROR(__xludf.DUMMYFUNCTION("""COMPUTED_VALUE"""),42751.54956613649)</f>
        <v>42751.54957</v>
      </c>
      <c r="C2128" s="1" t="str">
        <f>IFERROR(__xludf.DUMMYFUNCTION("""COMPUTED_VALUE"""),"control")</f>
        <v>control</v>
      </c>
      <c r="D2128" s="1" t="str">
        <f>IFERROR(__xludf.DUMMYFUNCTION("""COMPUTED_VALUE"""),"old_page")</f>
        <v>old_page</v>
      </c>
      <c r="E2128" s="1">
        <f>IFERROR(__xludf.DUMMYFUNCTION("""COMPUTED_VALUE"""),0.0)</f>
        <v>0</v>
      </c>
    </row>
    <row r="2129">
      <c r="A2129" s="1">
        <f>IFERROR(__xludf.DUMMYFUNCTION("""COMPUTED_VALUE"""),730687.0)</f>
        <v>730687</v>
      </c>
      <c r="B2129" s="2">
        <f>IFERROR(__xludf.DUMMYFUNCTION("""COMPUTED_VALUE"""),42738.9295335952)</f>
        <v>42738.92953</v>
      </c>
      <c r="C2129" s="1" t="str">
        <f>IFERROR(__xludf.DUMMYFUNCTION("""COMPUTED_VALUE"""),"control")</f>
        <v>control</v>
      </c>
      <c r="D2129" s="1" t="str">
        <f>IFERROR(__xludf.DUMMYFUNCTION("""COMPUTED_VALUE"""),"old_page")</f>
        <v>old_page</v>
      </c>
      <c r="E2129" s="1">
        <f>IFERROR(__xludf.DUMMYFUNCTION("""COMPUTED_VALUE"""),0.0)</f>
        <v>0</v>
      </c>
    </row>
    <row r="2130">
      <c r="A2130" s="1">
        <f>IFERROR(__xludf.DUMMYFUNCTION("""COMPUTED_VALUE"""),866485.0)</f>
        <v>866485</v>
      </c>
      <c r="B2130" s="2">
        <f>IFERROR(__xludf.DUMMYFUNCTION("""COMPUTED_VALUE"""),42750.740622091296)</f>
        <v>42750.74062</v>
      </c>
      <c r="C2130" s="1" t="str">
        <f>IFERROR(__xludf.DUMMYFUNCTION("""COMPUTED_VALUE"""),"control")</f>
        <v>control</v>
      </c>
      <c r="D2130" s="1" t="str">
        <f>IFERROR(__xludf.DUMMYFUNCTION("""COMPUTED_VALUE"""),"old_page")</f>
        <v>old_page</v>
      </c>
      <c r="E2130" s="1">
        <f>IFERROR(__xludf.DUMMYFUNCTION("""COMPUTED_VALUE"""),0.0)</f>
        <v>0</v>
      </c>
    </row>
    <row r="2131">
      <c r="A2131" s="1">
        <f>IFERROR(__xludf.DUMMYFUNCTION("""COMPUTED_VALUE"""),892154.0)</f>
        <v>892154</v>
      </c>
      <c r="B2131" s="2">
        <f>IFERROR(__xludf.DUMMYFUNCTION("""COMPUTED_VALUE"""),42759.23601058536)</f>
        <v>42759.23601</v>
      </c>
      <c r="C2131" s="1" t="str">
        <f>IFERROR(__xludf.DUMMYFUNCTION("""COMPUTED_VALUE"""),"treatment")</f>
        <v>treatment</v>
      </c>
      <c r="D2131" s="1" t="str">
        <f>IFERROR(__xludf.DUMMYFUNCTION("""COMPUTED_VALUE"""),"new_page")</f>
        <v>new_page</v>
      </c>
      <c r="E2131" s="1">
        <f>IFERROR(__xludf.DUMMYFUNCTION("""COMPUTED_VALUE"""),0.0)</f>
        <v>0</v>
      </c>
    </row>
    <row r="2132">
      <c r="A2132" s="1">
        <f>IFERROR(__xludf.DUMMYFUNCTION("""COMPUTED_VALUE"""),692880.0)</f>
        <v>692880</v>
      </c>
      <c r="B2132" s="2">
        <f>IFERROR(__xludf.DUMMYFUNCTION("""COMPUTED_VALUE"""),42745.540079505256)</f>
        <v>42745.54008</v>
      </c>
      <c r="C2132" s="1" t="str">
        <f>IFERROR(__xludf.DUMMYFUNCTION("""COMPUTED_VALUE"""),"control")</f>
        <v>control</v>
      </c>
      <c r="D2132" s="1" t="str">
        <f>IFERROR(__xludf.DUMMYFUNCTION("""COMPUTED_VALUE"""),"old_page")</f>
        <v>old_page</v>
      </c>
      <c r="E2132" s="1">
        <f>IFERROR(__xludf.DUMMYFUNCTION("""COMPUTED_VALUE"""),0.0)</f>
        <v>0</v>
      </c>
    </row>
    <row r="2133">
      <c r="A2133" s="1">
        <f>IFERROR(__xludf.DUMMYFUNCTION("""COMPUTED_VALUE"""),654494.0)</f>
        <v>654494</v>
      </c>
      <c r="B2133" s="2">
        <f>IFERROR(__xludf.DUMMYFUNCTION("""COMPUTED_VALUE"""),42759.17833165398)</f>
        <v>42759.17833</v>
      </c>
      <c r="C2133" s="1" t="str">
        <f>IFERROR(__xludf.DUMMYFUNCTION("""COMPUTED_VALUE"""),"treatment")</f>
        <v>treatment</v>
      </c>
      <c r="D2133" s="1" t="str">
        <f>IFERROR(__xludf.DUMMYFUNCTION("""COMPUTED_VALUE"""),"new_page")</f>
        <v>new_page</v>
      </c>
      <c r="E2133" s="1">
        <f>IFERROR(__xludf.DUMMYFUNCTION("""COMPUTED_VALUE"""),0.0)</f>
        <v>0</v>
      </c>
    </row>
    <row r="2134">
      <c r="A2134" s="1">
        <f>IFERROR(__xludf.DUMMYFUNCTION("""COMPUTED_VALUE"""),712229.0)</f>
        <v>712229</v>
      </c>
      <c r="B2134" s="2">
        <f>IFERROR(__xludf.DUMMYFUNCTION("""COMPUTED_VALUE"""),42752.04918678045)</f>
        <v>42752.04919</v>
      </c>
      <c r="C2134" s="1" t="str">
        <f>IFERROR(__xludf.DUMMYFUNCTION("""COMPUTED_VALUE"""),"control")</f>
        <v>control</v>
      </c>
      <c r="D2134" s="1" t="str">
        <f>IFERROR(__xludf.DUMMYFUNCTION("""COMPUTED_VALUE"""),"old_page")</f>
        <v>old_page</v>
      </c>
      <c r="E2134" s="1">
        <f>IFERROR(__xludf.DUMMYFUNCTION("""COMPUTED_VALUE"""),0.0)</f>
        <v>0</v>
      </c>
    </row>
    <row r="2135">
      <c r="A2135" s="1">
        <f>IFERROR(__xludf.DUMMYFUNCTION("""COMPUTED_VALUE"""),716017.0)</f>
        <v>716017</v>
      </c>
      <c r="B2135" s="2">
        <f>IFERROR(__xludf.DUMMYFUNCTION("""COMPUTED_VALUE"""),42754.41832215395)</f>
        <v>42754.41832</v>
      </c>
      <c r="C2135" s="1" t="str">
        <f>IFERROR(__xludf.DUMMYFUNCTION("""COMPUTED_VALUE"""),"treatment")</f>
        <v>treatment</v>
      </c>
      <c r="D2135" s="1" t="str">
        <f>IFERROR(__xludf.DUMMYFUNCTION("""COMPUTED_VALUE"""),"new_page")</f>
        <v>new_page</v>
      </c>
      <c r="E2135" s="1">
        <f>IFERROR(__xludf.DUMMYFUNCTION("""COMPUTED_VALUE"""),1.0)</f>
        <v>1</v>
      </c>
    </row>
    <row r="2136">
      <c r="A2136" s="1">
        <f>IFERROR(__xludf.DUMMYFUNCTION("""COMPUTED_VALUE"""),938615.0)</f>
        <v>938615</v>
      </c>
      <c r="B2136" s="2">
        <f>IFERROR(__xludf.DUMMYFUNCTION("""COMPUTED_VALUE"""),42740.26122153398)</f>
        <v>42740.26122</v>
      </c>
      <c r="C2136" s="1" t="str">
        <f>IFERROR(__xludf.DUMMYFUNCTION("""COMPUTED_VALUE"""),"control")</f>
        <v>control</v>
      </c>
      <c r="D2136" s="1" t="str">
        <f>IFERROR(__xludf.DUMMYFUNCTION("""COMPUTED_VALUE"""),"old_page")</f>
        <v>old_page</v>
      </c>
      <c r="E2136" s="1">
        <f>IFERROR(__xludf.DUMMYFUNCTION("""COMPUTED_VALUE"""),0.0)</f>
        <v>0</v>
      </c>
    </row>
    <row r="2137">
      <c r="A2137" s="1">
        <f>IFERROR(__xludf.DUMMYFUNCTION("""COMPUTED_VALUE"""),807238.0)</f>
        <v>807238</v>
      </c>
      <c r="B2137" s="2">
        <f>IFERROR(__xludf.DUMMYFUNCTION("""COMPUTED_VALUE"""),42753.46701254072)</f>
        <v>42753.46701</v>
      </c>
      <c r="C2137" s="1" t="str">
        <f>IFERROR(__xludf.DUMMYFUNCTION("""COMPUTED_VALUE"""),"treatment")</f>
        <v>treatment</v>
      </c>
      <c r="D2137" s="1" t="str">
        <f>IFERROR(__xludf.DUMMYFUNCTION("""COMPUTED_VALUE"""),"new_page")</f>
        <v>new_page</v>
      </c>
      <c r="E2137" s="1">
        <f>IFERROR(__xludf.DUMMYFUNCTION("""COMPUTED_VALUE"""),0.0)</f>
        <v>0</v>
      </c>
    </row>
    <row r="2138">
      <c r="A2138" s="1">
        <f>IFERROR(__xludf.DUMMYFUNCTION("""COMPUTED_VALUE"""),736571.0)</f>
        <v>736571</v>
      </c>
      <c r="B2138" s="2">
        <f>IFERROR(__xludf.DUMMYFUNCTION("""COMPUTED_VALUE"""),42750.77038760788)</f>
        <v>42750.77039</v>
      </c>
      <c r="C2138" s="1" t="str">
        <f>IFERROR(__xludf.DUMMYFUNCTION("""COMPUTED_VALUE"""),"treatment")</f>
        <v>treatment</v>
      </c>
      <c r="D2138" s="1" t="str">
        <f>IFERROR(__xludf.DUMMYFUNCTION("""COMPUTED_VALUE"""),"new_page")</f>
        <v>new_page</v>
      </c>
      <c r="E2138" s="1">
        <f>IFERROR(__xludf.DUMMYFUNCTION("""COMPUTED_VALUE"""),0.0)</f>
        <v>0</v>
      </c>
    </row>
    <row r="2139">
      <c r="A2139" s="1">
        <f>IFERROR(__xludf.DUMMYFUNCTION("""COMPUTED_VALUE"""),849152.0)</f>
        <v>849152</v>
      </c>
      <c r="B2139" s="2">
        <f>IFERROR(__xludf.DUMMYFUNCTION("""COMPUTED_VALUE"""),42750.8354497002)</f>
        <v>42750.83545</v>
      </c>
      <c r="C2139" s="1" t="str">
        <f>IFERROR(__xludf.DUMMYFUNCTION("""COMPUTED_VALUE"""),"control")</f>
        <v>control</v>
      </c>
      <c r="D2139" s="1" t="str">
        <f>IFERROR(__xludf.DUMMYFUNCTION("""COMPUTED_VALUE"""),"old_page")</f>
        <v>old_page</v>
      </c>
      <c r="E2139" s="1">
        <f>IFERROR(__xludf.DUMMYFUNCTION("""COMPUTED_VALUE"""),0.0)</f>
        <v>0</v>
      </c>
    </row>
    <row r="2140">
      <c r="A2140" s="1">
        <f>IFERROR(__xludf.DUMMYFUNCTION("""COMPUTED_VALUE"""),699642.0)</f>
        <v>699642</v>
      </c>
      <c r="B2140" s="2">
        <f>IFERROR(__xludf.DUMMYFUNCTION("""COMPUTED_VALUE"""),42746.7589738427)</f>
        <v>42746.75897</v>
      </c>
      <c r="C2140" s="1" t="str">
        <f>IFERROR(__xludf.DUMMYFUNCTION("""COMPUTED_VALUE"""),"control")</f>
        <v>control</v>
      </c>
      <c r="D2140" s="1" t="str">
        <f>IFERROR(__xludf.DUMMYFUNCTION("""COMPUTED_VALUE"""),"old_page")</f>
        <v>old_page</v>
      </c>
      <c r="E2140" s="1">
        <f>IFERROR(__xludf.DUMMYFUNCTION("""COMPUTED_VALUE"""),0.0)</f>
        <v>0</v>
      </c>
    </row>
    <row r="2141">
      <c r="A2141" s="1">
        <f>IFERROR(__xludf.DUMMYFUNCTION("""COMPUTED_VALUE"""),696641.0)</f>
        <v>696641</v>
      </c>
      <c r="B2141" s="2">
        <f>IFERROR(__xludf.DUMMYFUNCTION("""COMPUTED_VALUE"""),42740.49772106995)</f>
        <v>42740.49772</v>
      </c>
      <c r="C2141" s="1" t="str">
        <f>IFERROR(__xludf.DUMMYFUNCTION("""COMPUTED_VALUE"""),"control")</f>
        <v>control</v>
      </c>
      <c r="D2141" s="1" t="str">
        <f>IFERROR(__xludf.DUMMYFUNCTION("""COMPUTED_VALUE"""),"old_page")</f>
        <v>old_page</v>
      </c>
      <c r="E2141" s="1">
        <f>IFERROR(__xludf.DUMMYFUNCTION("""COMPUTED_VALUE"""),0.0)</f>
        <v>0</v>
      </c>
    </row>
    <row r="2142">
      <c r="A2142" s="1">
        <f>IFERROR(__xludf.DUMMYFUNCTION("""COMPUTED_VALUE"""),884052.0)</f>
        <v>884052</v>
      </c>
      <c r="B2142" s="2">
        <f>IFERROR(__xludf.DUMMYFUNCTION("""COMPUTED_VALUE"""),42753.41407079741)</f>
        <v>42753.41407</v>
      </c>
      <c r="C2142" s="1" t="str">
        <f>IFERROR(__xludf.DUMMYFUNCTION("""COMPUTED_VALUE"""),"control")</f>
        <v>control</v>
      </c>
      <c r="D2142" s="1" t="str">
        <f>IFERROR(__xludf.DUMMYFUNCTION("""COMPUTED_VALUE"""),"old_page")</f>
        <v>old_page</v>
      </c>
      <c r="E2142" s="1">
        <f>IFERROR(__xludf.DUMMYFUNCTION("""COMPUTED_VALUE"""),0.0)</f>
        <v>0</v>
      </c>
    </row>
    <row r="2143">
      <c r="A2143" s="1">
        <f>IFERROR(__xludf.DUMMYFUNCTION("""COMPUTED_VALUE"""),861972.0)</f>
        <v>861972</v>
      </c>
      <c r="B2143" s="2">
        <f>IFERROR(__xludf.DUMMYFUNCTION("""COMPUTED_VALUE"""),42740.84400553858)</f>
        <v>42740.84401</v>
      </c>
      <c r="C2143" s="1" t="str">
        <f>IFERROR(__xludf.DUMMYFUNCTION("""COMPUTED_VALUE"""),"treatment")</f>
        <v>treatment</v>
      </c>
      <c r="D2143" s="1" t="str">
        <f>IFERROR(__xludf.DUMMYFUNCTION("""COMPUTED_VALUE"""),"new_page")</f>
        <v>new_page</v>
      </c>
      <c r="E2143" s="1">
        <f>IFERROR(__xludf.DUMMYFUNCTION("""COMPUTED_VALUE"""),0.0)</f>
        <v>0</v>
      </c>
    </row>
    <row r="2144">
      <c r="A2144" s="1">
        <f>IFERROR(__xludf.DUMMYFUNCTION("""COMPUTED_VALUE"""),803471.0)</f>
        <v>803471</v>
      </c>
      <c r="B2144" s="2">
        <f>IFERROR(__xludf.DUMMYFUNCTION("""COMPUTED_VALUE"""),42745.338844781574)</f>
        <v>42745.33884</v>
      </c>
      <c r="C2144" s="1" t="str">
        <f>IFERROR(__xludf.DUMMYFUNCTION("""COMPUTED_VALUE"""),"treatment")</f>
        <v>treatment</v>
      </c>
      <c r="D2144" s="1" t="str">
        <f>IFERROR(__xludf.DUMMYFUNCTION("""COMPUTED_VALUE"""),"new_page")</f>
        <v>new_page</v>
      </c>
      <c r="E2144" s="1">
        <f>IFERROR(__xludf.DUMMYFUNCTION("""COMPUTED_VALUE"""),0.0)</f>
        <v>0</v>
      </c>
    </row>
    <row r="2145">
      <c r="A2145" s="1">
        <f>IFERROR(__xludf.DUMMYFUNCTION("""COMPUTED_VALUE"""),723331.0)</f>
        <v>723331</v>
      </c>
      <c r="B2145" s="2">
        <f>IFERROR(__xludf.DUMMYFUNCTION("""COMPUTED_VALUE"""),42749.83191479943)</f>
        <v>42749.83191</v>
      </c>
      <c r="C2145" s="1" t="str">
        <f>IFERROR(__xludf.DUMMYFUNCTION("""COMPUTED_VALUE"""),"control")</f>
        <v>control</v>
      </c>
      <c r="D2145" s="1" t="str">
        <f>IFERROR(__xludf.DUMMYFUNCTION("""COMPUTED_VALUE"""),"old_page")</f>
        <v>old_page</v>
      </c>
      <c r="E2145" s="1">
        <f>IFERROR(__xludf.DUMMYFUNCTION("""COMPUTED_VALUE"""),0.0)</f>
        <v>0</v>
      </c>
    </row>
    <row r="2146">
      <c r="A2146" s="1">
        <f>IFERROR(__xludf.DUMMYFUNCTION("""COMPUTED_VALUE"""),728935.0)</f>
        <v>728935</v>
      </c>
      <c r="B2146" s="2">
        <f>IFERROR(__xludf.DUMMYFUNCTION("""COMPUTED_VALUE"""),42752.62817674536)</f>
        <v>42752.62818</v>
      </c>
      <c r="C2146" s="1" t="str">
        <f>IFERROR(__xludf.DUMMYFUNCTION("""COMPUTED_VALUE"""),"control")</f>
        <v>control</v>
      </c>
      <c r="D2146" s="1" t="str">
        <f>IFERROR(__xludf.DUMMYFUNCTION("""COMPUTED_VALUE"""),"old_page")</f>
        <v>old_page</v>
      </c>
      <c r="E2146" s="1">
        <f>IFERROR(__xludf.DUMMYFUNCTION("""COMPUTED_VALUE"""),0.0)</f>
        <v>0</v>
      </c>
    </row>
    <row r="2147">
      <c r="A2147" s="1">
        <f>IFERROR(__xludf.DUMMYFUNCTION("""COMPUTED_VALUE"""),938531.0)</f>
        <v>938531</v>
      </c>
      <c r="B2147" s="2">
        <f>IFERROR(__xludf.DUMMYFUNCTION("""COMPUTED_VALUE"""),42749.78980216642)</f>
        <v>42749.7898</v>
      </c>
      <c r="C2147" s="1" t="str">
        <f>IFERROR(__xludf.DUMMYFUNCTION("""COMPUTED_VALUE"""),"treatment")</f>
        <v>treatment</v>
      </c>
      <c r="D2147" s="1" t="str">
        <f>IFERROR(__xludf.DUMMYFUNCTION("""COMPUTED_VALUE"""),"new_page")</f>
        <v>new_page</v>
      </c>
      <c r="E2147" s="1">
        <f>IFERROR(__xludf.DUMMYFUNCTION("""COMPUTED_VALUE"""),0.0)</f>
        <v>0</v>
      </c>
    </row>
    <row r="2148">
      <c r="A2148" s="1">
        <f>IFERROR(__xludf.DUMMYFUNCTION("""COMPUTED_VALUE"""),868498.0)</f>
        <v>868498</v>
      </c>
      <c r="B2148" s="2">
        <f>IFERROR(__xludf.DUMMYFUNCTION("""COMPUTED_VALUE"""),42739.62188955501)</f>
        <v>42739.62189</v>
      </c>
      <c r="C2148" s="1" t="str">
        <f>IFERROR(__xludf.DUMMYFUNCTION("""COMPUTED_VALUE"""),"control")</f>
        <v>control</v>
      </c>
      <c r="D2148" s="1" t="str">
        <f>IFERROR(__xludf.DUMMYFUNCTION("""COMPUTED_VALUE"""),"old_page")</f>
        <v>old_page</v>
      </c>
      <c r="E2148" s="1">
        <f>IFERROR(__xludf.DUMMYFUNCTION("""COMPUTED_VALUE"""),0.0)</f>
        <v>0</v>
      </c>
    </row>
    <row r="2149">
      <c r="A2149" s="1">
        <f>IFERROR(__xludf.DUMMYFUNCTION("""COMPUTED_VALUE"""),931499.0)</f>
        <v>931499</v>
      </c>
      <c r="B2149" s="2">
        <f>IFERROR(__xludf.DUMMYFUNCTION("""COMPUTED_VALUE"""),42752.257986907745)</f>
        <v>42752.25799</v>
      </c>
      <c r="C2149" s="1" t="str">
        <f>IFERROR(__xludf.DUMMYFUNCTION("""COMPUTED_VALUE"""),"control")</f>
        <v>control</v>
      </c>
      <c r="D2149" s="1" t="str">
        <f>IFERROR(__xludf.DUMMYFUNCTION("""COMPUTED_VALUE"""),"old_page")</f>
        <v>old_page</v>
      </c>
      <c r="E2149" s="1">
        <f>IFERROR(__xludf.DUMMYFUNCTION("""COMPUTED_VALUE"""),0.0)</f>
        <v>0</v>
      </c>
    </row>
    <row r="2150">
      <c r="A2150" s="1">
        <f>IFERROR(__xludf.DUMMYFUNCTION("""COMPUTED_VALUE"""),905304.0)</f>
        <v>905304</v>
      </c>
      <c r="B2150" s="2">
        <f>IFERROR(__xludf.DUMMYFUNCTION("""COMPUTED_VALUE"""),42752.39257752134)</f>
        <v>42752.39258</v>
      </c>
      <c r="C2150" s="1" t="str">
        <f>IFERROR(__xludf.DUMMYFUNCTION("""COMPUTED_VALUE"""),"treatment")</f>
        <v>treatment</v>
      </c>
      <c r="D2150" s="1" t="str">
        <f>IFERROR(__xludf.DUMMYFUNCTION("""COMPUTED_VALUE"""),"new_page")</f>
        <v>new_page</v>
      </c>
      <c r="E2150" s="1">
        <f>IFERROR(__xludf.DUMMYFUNCTION("""COMPUTED_VALUE"""),0.0)</f>
        <v>0</v>
      </c>
    </row>
    <row r="2151">
      <c r="A2151" s="1">
        <f>IFERROR(__xludf.DUMMYFUNCTION("""COMPUTED_VALUE"""),816511.0)</f>
        <v>816511</v>
      </c>
      <c r="B2151" s="2">
        <f>IFERROR(__xludf.DUMMYFUNCTION("""COMPUTED_VALUE"""),42749.21231991114)</f>
        <v>42749.21232</v>
      </c>
      <c r="C2151" s="1" t="str">
        <f>IFERROR(__xludf.DUMMYFUNCTION("""COMPUTED_VALUE"""),"control")</f>
        <v>control</v>
      </c>
      <c r="D2151" s="1" t="str">
        <f>IFERROR(__xludf.DUMMYFUNCTION("""COMPUTED_VALUE"""),"old_page")</f>
        <v>old_page</v>
      </c>
      <c r="E2151" s="1">
        <f>IFERROR(__xludf.DUMMYFUNCTION("""COMPUTED_VALUE"""),0.0)</f>
        <v>0</v>
      </c>
    </row>
    <row r="2152">
      <c r="A2152" s="1">
        <f>IFERROR(__xludf.DUMMYFUNCTION("""COMPUTED_VALUE"""),932408.0)</f>
        <v>932408</v>
      </c>
      <c r="B2152" s="2">
        <f>IFERROR(__xludf.DUMMYFUNCTION("""COMPUTED_VALUE"""),42752.91656305969)</f>
        <v>42752.91656</v>
      </c>
      <c r="C2152" s="1" t="str">
        <f>IFERROR(__xludf.DUMMYFUNCTION("""COMPUTED_VALUE"""),"treatment")</f>
        <v>treatment</v>
      </c>
      <c r="D2152" s="1" t="str">
        <f>IFERROR(__xludf.DUMMYFUNCTION("""COMPUTED_VALUE"""),"new_page")</f>
        <v>new_page</v>
      </c>
      <c r="E2152" s="1">
        <f>IFERROR(__xludf.DUMMYFUNCTION("""COMPUTED_VALUE"""),0.0)</f>
        <v>0</v>
      </c>
    </row>
    <row r="2153">
      <c r="A2153" s="1">
        <f>IFERROR(__xludf.DUMMYFUNCTION("""COMPUTED_VALUE"""),877675.0)</f>
        <v>877675</v>
      </c>
      <c r="B2153" s="2">
        <f>IFERROR(__xludf.DUMMYFUNCTION("""COMPUTED_VALUE"""),42746.54513579727)</f>
        <v>42746.54514</v>
      </c>
      <c r="C2153" s="1" t="str">
        <f>IFERROR(__xludf.DUMMYFUNCTION("""COMPUTED_VALUE"""),"control")</f>
        <v>control</v>
      </c>
      <c r="D2153" s="1" t="str">
        <f>IFERROR(__xludf.DUMMYFUNCTION("""COMPUTED_VALUE"""),"old_page")</f>
        <v>old_page</v>
      </c>
      <c r="E2153" s="1">
        <f>IFERROR(__xludf.DUMMYFUNCTION("""COMPUTED_VALUE"""),0.0)</f>
        <v>0</v>
      </c>
    </row>
    <row r="2154">
      <c r="A2154" s="1">
        <f>IFERROR(__xludf.DUMMYFUNCTION("""COMPUTED_VALUE"""),823204.0)</f>
        <v>823204</v>
      </c>
      <c r="B2154" s="2">
        <f>IFERROR(__xludf.DUMMYFUNCTION("""COMPUTED_VALUE"""),42744.75137906064)</f>
        <v>42744.75138</v>
      </c>
      <c r="C2154" s="1" t="str">
        <f>IFERROR(__xludf.DUMMYFUNCTION("""COMPUTED_VALUE"""),"treatment")</f>
        <v>treatment</v>
      </c>
      <c r="D2154" s="1" t="str">
        <f>IFERROR(__xludf.DUMMYFUNCTION("""COMPUTED_VALUE"""),"new_page")</f>
        <v>new_page</v>
      </c>
      <c r="E2154" s="1">
        <f>IFERROR(__xludf.DUMMYFUNCTION("""COMPUTED_VALUE"""),1.0)</f>
        <v>1</v>
      </c>
    </row>
    <row r="2155">
      <c r="A2155" s="1">
        <f>IFERROR(__xludf.DUMMYFUNCTION("""COMPUTED_VALUE"""),747868.0)</f>
        <v>747868</v>
      </c>
      <c r="B2155" s="2">
        <f>IFERROR(__xludf.DUMMYFUNCTION("""COMPUTED_VALUE"""),42739.06975746564)</f>
        <v>42739.06976</v>
      </c>
      <c r="C2155" s="1" t="str">
        <f>IFERROR(__xludf.DUMMYFUNCTION("""COMPUTED_VALUE"""),"control")</f>
        <v>control</v>
      </c>
      <c r="D2155" s="1" t="str">
        <f>IFERROR(__xludf.DUMMYFUNCTION("""COMPUTED_VALUE"""),"old_page")</f>
        <v>old_page</v>
      </c>
      <c r="E2155" s="1">
        <f>IFERROR(__xludf.DUMMYFUNCTION("""COMPUTED_VALUE"""),0.0)</f>
        <v>0</v>
      </c>
    </row>
    <row r="2156">
      <c r="A2156" s="1">
        <f>IFERROR(__xludf.DUMMYFUNCTION("""COMPUTED_VALUE"""),745777.0)</f>
        <v>745777</v>
      </c>
      <c r="B2156" s="2">
        <f>IFERROR(__xludf.DUMMYFUNCTION("""COMPUTED_VALUE"""),42748.14016205522)</f>
        <v>42748.14016</v>
      </c>
      <c r="C2156" s="1" t="str">
        <f>IFERROR(__xludf.DUMMYFUNCTION("""COMPUTED_VALUE"""),"treatment")</f>
        <v>treatment</v>
      </c>
      <c r="D2156" s="1" t="str">
        <f>IFERROR(__xludf.DUMMYFUNCTION("""COMPUTED_VALUE"""),"new_page")</f>
        <v>new_page</v>
      </c>
      <c r="E2156" s="1">
        <f>IFERROR(__xludf.DUMMYFUNCTION("""COMPUTED_VALUE"""),0.0)</f>
        <v>0</v>
      </c>
    </row>
    <row r="2157">
      <c r="A2157" s="1">
        <f>IFERROR(__xludf.DUMMYFUNCTION("""COMPUTED_VALUE"""),943947.0)</f>
        <v>943947</v>
      </c>
      <c r="B2157" s="2">
        <f>IFERROR(__xludf.DUMMYFUNCTION("""COMPUTED_VALUE"""),42755.02314340955)</f>
        <v>42755.02314</v>
      </c>
      <c r="C2157" s="1" t="str">
        <f>IFERROR(__xludf.DUMMYFUNCTION("""COMPUTED_VALUE"""),"control")</f>
        <v>control</v>
      </c>
      <c r="D2157" s="1" t="str">
        <f>IFERROR(__xludf.DUMMYFUNCTION("""COMPUTED_VALUE"""),"old_page")</f>
        <v>old_page</v>
      </c>
      <c r="E2157" s="1">
        <f>IFERROR(__xludf.DUMMYFUNCTION("""COMPUTED_VALUE"""),0.0)</f>
        <v>0</v>
      </c>
    </row>
    <row r="2158">
      <c r="A2158" s="1">
        <f>IFERROR(__xludf.DUMMYFUNCTION("""COMPUTED_VALUE"""),825599.0)</f>
        <v>825599</v>
      </c>
      <c r="B2158" s="2">
        <f>IFERROR(__xludf.DUMMYFUNCTION("""COMPUTED_VALUE"""),42750.11489170243)</f>
        <v>42750.11489</v>
      </c>
      <c r="C2158" s="1" t="str">
        <f>IFERROR(__xludf.DUMMYFUNCTION("""COMPUTED_VALUE"""),"control")</f>
        <v>control</v>
      </c>
      <c r="D2158" s="1" t="str">
        <f>IFERROR(__xludf.DUMMYFUNCTION("""COMPUTED_VALUE"""),"old_page")</f>
        <v>old_page</v>
      </c>
      <c r="E2158" s="1">
        <f>IFERROR(__xludf.DUMMYFUNCTION("""COMPUTED_VALUE"""),0.0)</f>
        <v>0</v>
      </c>
    </row>
    <row r="2159">
      <c r="A2159" s="1">
        <f>IFERROR(__xludf.DUMMYFUNCTION("""COMPUTED_VALUE"""),686492.0)</f>
        <v>686492</v>
      </c>
      <c r="B2159" s="2">
        <f>IFERROR(__xludf.DUMMYFUNCTION("""COMPUTED_VALUE"""),42749.2876729921)</f>
        <v>42749.28767</v>
      </c>
      <c r="C2159" s="1" t="str">
        <f>IFERROR(__xludf.DUMMYFUNCTION("""COMPUTED_VALUE"""),"treatment")</f>
        <v>treatment</v>
      </c>
      <c r="D2159" s="1" t="str">
        <f>IFERROR(__xludf.DUMMYFUNCTION("""COMPUTED_VALUE"""),"new_page")</f>
        <v>new_page</v>
      </c>
      <c r="E2159" s="1">
        <f>IFERROR(__xludf.DUMMYFUNCTION("""COMPUTED_VALUE"""),0.0)</f>
        <v>0</v>
      </c>
    </row>
    <row r="2160">
      <c r="A2160" s="1">
        <f>IFERROR(__xludf.DUMMYFUNCTION("""COMPUTED_VALUE"""),707502.0)</f>
        <v>707502</v>
      </c>
      <c r="B2160" s="2">
        <f>IFERROR(__xludf.DUMMYFUNCTION("""COMPUTED_VALUE"""),42741.51391940881)</f>
        <v>42741.51392</v>
      </c>
      <c r="C2160" s="1" t="str">
        <f>IFERROR(__xludf.DUMMYFUNCTION("""COMPUTED_VALUE"""),"control")</f>
        <v>control</v>
      </c>
      <c r="D2160" s="1" t="str">
        <f>IFERROR(__xludf.DUMMYFUNCTION("""COMPUTED_VALUE"""),"old_page")</f>
        <v>old_page</v>
      </c>
      <c r="E2160" s="1">
        <f>IFERROR(__xludf.DUMMYFUNCTION("""COMPUTED_VALUE"""),0.0)</f>
        <v>0</v>
      </c>
    </row>
    <row r="2161">
      <c r="A2161" s="1">
        <f>IFERROR(__xludf.DUMMYFUNCTION("""COMPUTED_VALUE"""),660052.0)</f>
        <v>660052</v>
      </c>
      <c r="B2161" s="2">
        <f>IFERROR(__xludf.DUMMYFUNCTION("""COMPUTED_VALUE"""),42751.166364957324)</f>
        <v>42751.16636</v>
      </c>
      <c r="C2161" s="1" t="str">
        <f>IFERROR(__xludf.DUMMYFUNCTION("""COMPUTED_VALUE"""),"control")</f>
        <v>control</v>
      </c>
      <c r="D2161" s="1" t="str">
        <f>IFERROR(__xludf.DUMMYFUNCTION("""COMPUTED_VALUE"""),"old_page")</f>
        <v>old_page</v>
      </c>
      <c r="E2161" s="1">
        <f>IFERROR(__xludf.DUMMYFUNCTION("""COMPUTED_VALUE"""),1.0)</f>
        <v>1</v>
      </c>
    </row>
    <row r="2162">
      <c r="A2162" s="1">
        <f>IFERROR(__xludf.DUMMYFUNCTION("""COMPUTED_VALUE"""),782421.0)</f>
        <v>782421</v>
      </c>
      <c r="B2162" s="2">
        <f>IFERROR(__xludf.DUMMYFUNCTION("""COMPUTED_VALUE"""),42743.17467967625)</f>
        <v>42743.17468</v>
      </c>
      <c r="C2162" s="1" t="str">
        <f>IFERROR(__xludf.DUMMYFUNCTION("""COMPUTED_VALUE"""),"control")</f>
        <v>control</v>
      </c>
      <c r="D2162" s="1" t="str">
        <f>IFERROR(__xludf.DUMMYFUNCTION("""COMPUTED_VALUE"""),"old_page")</f>
        <v>old_page</v>
      </c>
      <c r="E2162" s="1">
        <f>IFERROR(__xludf.DUMMYFUNCTION("""COMPUTED_VALUE"""),0.0)</f>
        <v>0</v>
      </c>
    </row>
    <row r="2163">
      <c r="A2163" s="1">
        <f>IFERROR(__xludf.DUMMYFUNCTION("""COMPUTED_VALUE"""),926906.0)</f>
        <v>926906</v>
      </c>
      <c r="B2163" s="2">
        <f>IFERROR(__xludf.DUMMYFUNCTION("""COMPUTED_VALUE"""),42748.169496167306)</f>
        <v>42748.1695</v>
      </c>
      <c r="C2163" s="1" t="str">
        <f>IFERROR(__xludf.DUMMYFUNCTION("""COMPUTED_VALUE"""),"control")</f>
        <v>control</v>
      </c>
      <c r="D2163" s="1" t="str">
        <f>IFERROR(__xludf.DUMMYFUNCTION("""COMPUTED_VALUE"""),"old_page")</f>
        <v>old_page</v>
      </c>
      <c r="E2163" s="1">
        <f>IFERROR(__xludf.DUMMYFUNCTION("""COMPUTED_VALUE"""),0.0)</f>
        <v>0</v>
      </c>
    </row>
    <row r="2164">
      <c r="A2164" s="1">
        <f>IFERROR(__xludf.DUMMYFUNCTION("""COMPUTED_VALUE"""),640961.0)</f>
        <v>640961</v>
      </c>
      <c r="B2164" s="2">
        <f>IFERROR(__xludf.DUMMYFUNCTION("""COMPUTED_VALUE"""),42746.52980368611)</f>
        <v>42746.5298</v>
      </c>
      <c r="C2164" s="1" t="str">
        <f>IFERROR(__xludf.DUMMYFUNCTION("""COMPUTED_VALUE"""),"control")</f>
        <v>control</v>
      </c>
      <c r="D2164" s="1" t="str">
        <f>IFERROR(__xludf.DUMMYFUNCTION("""COMPUTED_VALUE"""),"old_page")</f>
        <v>old_page</v>
      </c>
      <c r="E2164" s="1">
        <f>IFERROR(__xludf.DUMMYFUNCTION("""COMPUTED_VALUE"""),0.0)</f>
        <v>0</v>
      </c>
    </row>
    <row r="2165">
      <c r="A2165" s="1">
        <f>IFERROR(__xludf.DUMMYFUNCTION("""COMPUTED_VALUE"""),930930.0)</f>
        <v>930930</v>
      </c>
      <c r="B2165" s="2">
        <f>IFERROR(__xludf.DUMMYFUNCTION("""COMPUTED_VALUE"""),42759.25674900411)</f>
        <v>42759.25675</v>
      </c>
      <c r="C2165" s="1" t="str">
        <f>IFERROR(__xludf.DUMMYFUNCTION("""COMPUTED_VALUE"""),"control")</f>
        <v>control</v>
      </c>
      <c r="D2165" s="1" t="str">
        <f>IFERROR(__xludf.DUMMYFUNCTION("""COMPUTED_VALUE"""),"old_page")</f>
        <v>old_page</v>
      </c>
      <c r="E2165" s="1">
        <f>IFERROR(__xludf.DUMMYFUNCTION("""COMPUTED_VALUE"""),0.0)</f>
        <v>0</v>
      </c>
    </row>
    <row r="2166">
      <c r="A2166" s="1">
        <f>IFERROR(__xludf.DUMMYFUNCTION("""COMPUTED_VALUE"""),798424.0)</f>
        <v>798424</v>
      </c>
      <c r="B2166" s="2">
        <f>IFERROR(__xludf.DUMMYFUNCTION("""COMPUTED_VALUE"""),42748.787087281875)</f>
        <v>42748.78709</v>
      </c>
      <c r="C2166" s="1" t="str">
        <f>IFERROR(__xludf.DUMMYFUNCTION("""COMPUTED_VALUE"""),"treatment")</f>
        <v>treatment</v>
      </c>
      <c r="D2166" s="1" t="str">
        <f>IFERROR(__xludf.DUMMYFUNCTION("""COMPUTED_VALUE"""),"new_page")</f>
        <v>new_page</v>
      </c>
      <c r="E2166" s="1">
        <f>IFERROR(__xludf.DUMMYFUNCTION("""COMPUTED_VALUE"""),0.0)</f>
        <v>0</v>
      </c>
    </row>
    <row r="2167">
      <c r="A2167" s="1">
        <f>IFERROR(__xludf.DUMMYFUNCTION("""COMPUTED_VALUE"""),850680.0)</f>
        <v>850680</v>
      </c>
      <c r="B2167" s="2">
        <f>IFERROR(__xludf.DUMMYFUNCTION("""COMPUTED_VALUE"""),42746.910695884355)</f>
        <v>42746.9107</v>
      </c>
      <c r="C2167" s="1" t="str">
        <f>IFERROR(__xludf.DUMMYFUNCTION("""COMPUTED_VALUE"""),"control")</f>
        <v>control</v>
      </c>
      <c r="D2167" s="1" t="str">
        <f>IFERROR(__xludf.DUMMYFUNCTION("""COMPUTED_VALUE"""),"old_page")</f>
        <v>old_page</v>
      </c>
      <c r="E2167" s="1">
        <f>IFERROR(__xludf.DUMMYFUNCTION("""COMPUTED_VALUE"""),0.0)</f>
        <v>0</v>
      </c>
    </row>
    <row r="2168">
      <c r="A2168" s="1">
        <f>IFERROR(__xludf.DUMMYFUNCTION("""COMPUTED_VALUE"""),743374.0)</f>
        <v>743374</v>
      </c>
      <c r="B2168" s="2">
        <f>IFERROR(__xludf.DUMMYFUNCTION("""COMPUTED_VALUE"""),42752.10297278237)</f>
        <v>42752.10297</v>
      </c>
      <c r="C2168" s="1" t="str">
        <f>IFERROR(__xludf.DUMMYFUNCTION("""COMPUTED_VALUE"""),"control")</f>
        <v>control</v>
      </c>
      <c r="D2168" s="1" t="str">
        <f>IFERROR(__xludf.DUMMYFUNCTION("""COMPUTED_VALUE"""),"old_page")</f>
        <v>old_page</v>
      </c>
      <c r="E2168" s="1">
        <f>IFERROR(__xludf.DUMMYFUNCTION("""COMPUTED_VALUE"""),0.0)</f>
        <v>0</v>
      </c>
    </row>
    <row r="2169">
      <c r="A2169" s="1">
        <f>IFERROR(__xludf.DUMMYFUNCTION("""COMPUTED_VALUE"""),945778.0)</f>
        <v>945778</v>
      </c>
      <c r="B2169" s="2">
        <f>IFERROR(__xludf.DUMMYFUNCTION("""COMPUTED_VALUE"""),42739.704722012306)</f>
        <v>42739.70472</v>
      </c>
      <c r="C2169" s="1" t="str">
        <f>IFERROR(__xludf.DUMMYFUNCTION("""COMPUTED_VALUE"""),"treatment")</f>
        <v>treatment</v>
      </c>
      <c r="D2169" s="1" t="str">
        <f>IFERROR(__xludf.DUMMYFUNCTION("""COMPUTED_VALUE"""),"new_page")</f>
        <v>new_page</v>
      </c>
      <c r="E2169" s="1">
        <f>IFERROR(__xludf.DUMMYFUNCTION("""COMPUTED_VALUE"""),1.0)</f>
        <v>1</v>
      </c>
    </row>
    <row r="2170">
      <c r="A2170" s="1">
        <f>IFERROR(__xludf.DUMMYFUNCTION("""COMPUTED_VALUE"""),800408.0)</f>
        <v>800408</v>
      </c>
      <c r="B2170" s="2">
        <f>IFERROR(__xludf.DUMMYFUNCTION("""COMPUTED_VALUE"""),42753.09011597901)</f>
        <v>42753.09012</v>
      </c>
      <c r="C2170" s="1" t="str">
        <f>IFERROR(__xludf.DUMMYFUNCTION("""COMPUTED_VALUE"""),"treatment")</f>
        <v>treatment</v>
      </c>
      <c r="D2170" s="1" t="str">
        <f>IFERROR(__xludf.DUMMYFUNCTION("""COMPUTED_VALUE"""),"new_page")</f>
        <v>new_page</v>
      </c>
      <c r="E2170" s="1">
        <f>IFERROR(__xludf.DUMMYFUNCTION("""COMPUTED_VALUE"""),0.0)</f>
        <v>0</v>
      </c>
    </row>
    <row r="2171">
      <c r="A2171" s="1">
        <f>IFERROR(__xludf.DUMMYFUNCTION("""COMPUTED_VALUE"""),811882.0)</f>
        <v>811882</v>
      </c>
      <c r="B2171" s="2">
        <f>IFERROR(__xludf.DUMMYFUNCTION("""COMPUTED_VALUE"""),42757.816449591126)</f>
        <v>42757.81645</v>
      </c>
      <c r="C2171" s="1" t="str">
        <f>IFERROR(__xludf.DUMMYFUNCTION("""COMPUTED_VALUE"""),"treatment")</f>
        <v>treatment</v>
      </c>
      <c r="D2171" s="1" t="str">
        <f>IFERROR(__xludf.DUMMYFUNCTION("""COMPUTED_VALUE"""),"new_page")</f>
        <v>new_page</v>
      </c>
      <c r="E2171" s="1">
        <f>IFERROR(__xludf.DUMMYFUNCTION("""COMPUTED_VALUE"""),0.0)</f>
        <v>0</v>
      </c>
    </row>
    <row r="2172">
      <c r="A2172" s="1">
        <f>IFERROR(__xludf.DUMMYFUNCTION("""COMPUTED_VALUE"""),718447.0)</f>
        <v>718447</v>
      </c>
      <c r="B2172" s="2">
        <f>IFERROR(__xludf.DUMMYFUNCTION("""COMPUTED_VALUE"""),42742.775826688274)</f>
        <v>42742.77583</v>
      </c>
      <c r="C2172" s="1" t="str">
        <f>IFERROR(__xludf.DUMMYFUNCTION("""COMPUTED_VALUE"""),"treatment")</f>
        <v>treatment</v>
      </c>
      <c r="D2172" s="1" t="str">
        <f>IFERROR(__xludf.DUMMYFUNCTION("""COMPUTED_VALUE"""),"new_page")</f>
        <v>new_page</v>
      </c>
      <c r="E2172" s="1">
        <f>IFERROR(__xludf.DUMMYFUNCTION("""COMPUTED_VALUE"""),0.0)</f>
        <v>0</v>
      </c>
    </row>
    <row r="2173">
      <c r="A2173" s="1">
        <f>IFERROR(__xludf.DUMMYFUNCTION("""COMPUTED_VALUE"""),915033.0)</f>
        <v>915033</v>
      </c>
      <c r="B2173" s="2">
        <f>IFERROR(__xludf.DUMMYFUNCTION("""COMPUTED_VALUE"""),42752.87987869976)</f>
        <v>42752.87988</v>
      </c>
      <c r="C2173" s="1" t="str">
        <f>IFERROR(__xludf.DUMMYFUNCTION("""COMPUTED_VALUE"""),"treatment")</f>
        <v>treatment</v>
      </c>
      <c r="D2173" s="1" t="str">
        <f>IFERROR(__xludf.DUMMYFUNCTION("""COMPUTED_VALUE"""),"new_page")</f>
        <v>new_page</v>
      </c>
      <c r="E2173" s="1">
        <f>IFERROR(__xludf.DUMMYFUNCTION("""COMPUTED_VALUE"""),1.0)</f>
        <v>1</v>
      </c>
    </row>
    <row r="2174">
      <c r="A2174" s="1">
        <f>IFERROR(__xludf.DUMMYFUNCTION("""COMPUTED_VALUE"""),853187.0)</f>
        <v>853187</v>
      </c>
      <c r="B2174" s="2">
        <f>IFERROR(__xludf.DUMMYFUNCTION("""COMPUTED_VALUE"""),42757.80165548176)</f>
        <v>42757.80166</v>
      </c>
      <c r="C2174" s="1" t="str">
        <f>IFERROR(__xludf.DUMMYFUNCTION("""COMPUTED_VALUE"""),"treatment")</f>
        <v>treatment</v>
      </c>
      <c r="D2174" s="1" t="str">
        <f>IFERROR(__xludf.DUMMYFUNCTION("""COMPUTED_VALUE"""),"new_page")</f>
        <v>new_page</v>
      </c>
      <c r="E2174" s="1">
        <f>IFERROR(__xludf.DUMMYFUNCTION("""COMPUTED_VALUE"""),0.0)</f>
        <v>0</v>
      </c>
    </row>
    <row r="2175">
      <c r="A2175" s="1">
        <f>IFERROR(__xludf.DUMMYFUNCTION("""COMPUTED_VALUE"""),803040.0)</f>
        <v>803040</v>
      </c>
      <c r="B2175" s="2">
        <f>IFERROR(__xludf.DUMMYFUNCTION("""COMPUTED_VALUE"""),42740.70609431456)</f>
        <v>42740.70609</v>
      </c>
      <c r="C2175" s="1" t="str">
        <f>IFERROR(__xludf.DUMMYFUNCTION("""COMPUTED_VALUE"""),"control")</f>
        <v>control</v>
      </c>
      <c r="D2175" s="1" t="str">
        <f>IFERROR(__xludf.DUMMYFUNCTION("""COMPUTED_VALUE"""),"old_page")</f>
        <v>old_page</v>
      </c>
      <c r="E2175" s="1">
        <f>IFERROR(__xludf.DUMMYFUNCTION("""COMPUTED_VALUE"""),0.0)</f>
        <v>0</v>
      </c>
    </row>
    <row r="2176">
      <c r="A2176" s="1">
        <f>IFERROR(__xludf.DUMMYFUNCTION("""COMPUTED_VALUE"""),787980.0)</f>
        <v>787980</v>
      </c>
      <c r="B2176" s="2">
        <f>IFERROR(__xludf.DUMMYFUNCTION("""COMPUTED_VALUE"""),42758.13141488339)</f>
        <v>42758.13141</v>
      </c>
      <c r="C2176" s="1" t="str">
        <f>IFERROR(__xludf.DUMMYFUNCTION("""COMPUTED_VALUE"""),"control")</f>
        <v>control</v>
      </c>
      <c r="D2176" s="1" t="str">
        <f>IFERROR(__xludf.DUMMYFUNCTION("""COMPUTED_VALUE"""),"old_page")</f>
        <v>old_page</v>
      </c>
      <c r="E2176" s="1">
        <f>IFERROR(__xludf.DUMMYFUNCTION("""COMPUTED_VALUE"""),0.0)</f>
        <v>0</v>
      </c>
    </row>
    <row r="2177">
      <c r="A2177" s="1">
        <f>IFERROR(__xludf.DUMMYFUNCTION("""COMPUTED_VALUE"""),714418.0)</f>
        <v>714418</v>
      </c>
      <c r="B2177" s="2">
        <f>IFERROR(__xludf.DUMMYFUNCTION("""COMPUTED_VALUE"""),42743.83475307709)</f>
        <v>42743.83475</v>
      </c>
      <c r="C2177" s="1" t="str">
        <f>IFERROR(__xludf.DUMMYFUNCTION("""COMPUTED_VALUE"""),"control")</f>
        <v>control</v>
      </c>
      <c r="D2177" s="1" t="str">
        <f>IFERROR(__xludf.DUMMYFUNCTION("""COMPUTED_VALUE"""),"old_page")</f>
        <v>old_page</v>
      </c>
      <c r="E2177" s="1">
        <f>IFERROR(__xludf.DUMMYFUNCTION("""COMPUTED_VALUE"""),0.0)</f>
        <v>0</v>
      </c>
    </row>
    <row r="2178">
      <c r="A2178" s="1">
        <f>IFERROR(__xludf.DUMMYFUNCTION("""COMPUTED_VALUE"""),730024.0)</f>
        <v>730024</v>
      </c>
      <c r="B2178" s="2">
        <f>IFERROR(__xludf.DUMMYFUNCTION("""COMPUTED_VALUE"""),42745.52006162139)</f>
        <v>42745.52006</v>
      </c>
      <c r="C2178" s="1" t="str">
        <f>IFERROR(__xludf.DUMMYFUNCTION("""COMPUTED_VALUE"""),"control")</f>
        <v>control</v>
      </c>
      <c r="D2178" s="1" t="str">
        <f>IFERROR(__xludf.DUMMYFUNCTION("""COMPUTED_VALUE"""),"old_page")</f>
        <v>old_page</v>
      </c>
      <c r="E2178" s="1">
        <f>IFERROR(__xludf.DUMMYFUNCTION("""COMPUTED_VALUE"""),0.0)</f>
        <v>0</v>
      </c>
    </row>
    <row r="2179">
      <c r="A2179" s="1">
        <f>IFERROR(__xludf.DUMMYFUNCTION("""COMPUTED_VALUE"""),672884.0)</f>
        <v>672884</v>
      </c>
      <c r="B2179" s="2">
        <f>IFERROR(__xludf.DUMMYFUNCTION("""COMPUTED_VALUE"""),42756.84914509117)</f>
        <v>42756.84915</v>
      </c>
      <c r="C2179" s="1" t="str">
        <f>IFERROR(__xludf.DUMMYFUNCTION("""COMPUTED_VALUE"""),"treatment")</f>
        <v>treatment</v>
      </c>
      <c r="D2179" s="1" t="str">
        <f>IFERROR(__xludf.DUMMYFUNCTION("""COMPUTED_VALUE"""),"new_page")</f>
        <v>new_page</v>
      </c>
      <c r="E2179" s="1">
        <f>IFERROR(__xludf.DUMMYFUNCTION("""COMPUTED_VALUE"""),1.0)</f>
        <v>1</v>
      </c>
    </row>
    <row r="2180">
      <c r="A2180" s="1">
        <f>IFERROR(__xludf.DUMMYFUNCTION("""COMPUTED_VALUE"""),919065.0)</f>
        <v>919065</v>
      </c>
      <c r="B2180" s="2">
        <f>IFERROR(__xludf.DUMMYFUNCTION("""COMPUTED_VALUE"""),42741.60109940823)</f>
        <v>42741.6011</v>
      </c>
      <c r="C2180" s="1" t="str">
        <f>IFERROR(__xludf.DUMMYFUNCTION("""COMPUTED_VALUE"""),"control")</f>
        <v>control</v>
      </c>
      <c r="D2180" s="1" t="str">
        <f>IFERROR(__xludf.DUMMYFUNCTION("""COMPUTED_VALUE"""),"old_page")</f>
        <v>old_page</v>
      </c>
      <c r="E2180" s="1">
        <f>IFERROR(__xludf.DUMMYFUNCTION("""COMPUTED_VALUE"""),0.0)</f>
        <v>0</v>
      </c>
    </row>
    <row r="2181">
      <c r="A2181" s="1">
        <f>IFERROR(__xludf.DUMMYFUNCTION("""COMPUTED_VALUE"""),776095.0)</f>
        <v>776095</v>
      </c>
      <c r="B2181" s="2">
        <f>IFERROR(__xludf.DUMMYFUNCTION("""COMPUTED_VALUE"""),42750.253249994385)</f>
        <v>42750.25325</v>
      </c>
      <c r="C2181" s="1" t="str">
        <f>IFERROR(__xludf.DUMMYFUNCTION("""COMPUTED_VALUE"""),"control")</f>
        <v>control</v>
      </c>
      <c r="D2181" s="1" t="str">
        <f>IFERROR(__xludf.DUMMYFUNCTION("""COMPUTED_VALUE"""),"old_page")</f>
        <v>old_page</v>
      </c>
      <c r="E2181" s="1">
        <f>IFERROR(__xludf.DUMMYFUNCTION("""COMPUTED_VALUE"""),0.0)</f>
        <v>0</v>
      </c>
    </row>
    <row r="2182">
      <c r="A2182" s="1">
        <f>IFERROR(__xludf.DUMMYFUNCTION("""COMPUTED_VALUE"""),781158.0)</f>
        <v>781158</v>
      </c>
      <c r="B2182" s="2">
        <f>IFERROR(__xludf.DUMMYFUNCTION("""COMPUTED_VALUE"""),42754.48131754023)</f>
        <v>42754.48132</v>
      </c>
      <c r="C2182" s="1" t="str">
        <f>IFERROR(__xludf.DUMMYFUNCTION("""COMPUTED_VALUE"""),"control")</f>
        <v>control</v>
      </c>
      <c r="D2182" s="1" t="str">
        <f>IFERROR(__xludf.DUMMYFUNCTION("""COMPUTED_VALUE"""),"old_page")</f>
        <v>old_page</v>
      </c>
      <c r="E2182" s="1">
        <f>IFERROR(__xludf.DUMMYFUNCTION("""COMPUTED_VALUE"""),1.0)</f>
        <v>1</v>
      </c>
    </row>
    <row r="2183">
      <c r="A2183" s="1">
        <f>IFERROR(__xludf.DUMMYFUNCTION("""COMPUTED_VALUE"""),855400.0)</f>
        <v>855400</v>
      </c>
      <c r="B2183" s="2">
        <f>IFERROR(__xludf.DUMMYFUNCTION("""COMPUTED_VALUE"""),42747.53636973941)</f>
        <v>42747.53637</v>
      </c>
      <c r="C2183" s="1" t="str">
        <f>IFERROR(__xludf.DUMMYFUNCTION("""COMPUTED_VALUE"""),"treatment")</f>
        <v>treatment</v>
      </c>
      <c r="D2183" s="1" t="str">
        <f>IFERROR(__xludf.DUMMYFUNCTION("""COMPUTED_VALUE"""),"new_page")</f>
        <v>new_page</v>
      </c>
      <c r="E2183" s="1">
        <f>IFERROR(__xludf.DUMMYFUNCTION("""COMPUTED_VALUE"""),0.0)</f>
        <v>0</v>
      </c>
    </row>
    <row r="2184">
      <c r="A2184" s="1">
        <f>IFERROR(__xludf.DUMMYFUNCTION("""COMPUTED_VALUE"""),713372.0)</f>
        <v>713372</v>
      </c>
      <c r="B2184" s="2">
        <f>IFERROR(__xludf.DUMMYFUNCTION("""COMPUTED_VALUE"""),42757.22493137608)</f>
        <v>42757.22493</v>
      </c>
      <c r="C2184" s="1" t="str">
        <f>IFERROR(__xludf.DUMMYFUNCTION("""COMPUTED_VALUE"""),"control")</f>
        <v>control</v>
      </c>
      <c r="D2184" s="1" t="str">
        <f>IFERROR(__xludf.DUMMYFUNCTION("""COMPUTED_VALUE"""),"old_page")</f>
        <v>old_page</v>
      </c>
      <c r="E2184" s="1">
        <f>IFERROR(__xludf.DUMMYFUNCTION("""COMPUTED_VALUE"""),0.0)</f>
        <v>0</v>
      </c>
    </row>
    <row r="2185">
      <c r="A2185" s="1">
        <f>IFERROR(__xludf.DUMMYFUNCTION("""COMPUTED_VALUE"""),633958.0)</f>
        <v>633958</v>
      </c>
      <c r="B2185" s="2">
        <f>IFERROR(__xludf.DUMMYFUNCTION("""COMPUTED_VALUE"""),42743.60719300232)</f>
        <v>42743.60719</v>
      </c>
      <c r="C2185" s="1" t="str">
        <f>IFERROR(__xludf.DUMMYFUNCTION("""COMPUTED_VALUE"""),"treatment")</f>
        <v>treatment</v>
      </c>
      <c r="D2185" s="1" t="str">
        <f>IFERROR(__xludf.DUMMYFUNCTION("""COMPUTED_VALUE"""),"new_page")</f>
        <v>new_page</v>
      </c>
      <c r="E2185" s="1">
        <f>IFERROR(__xludf.DUMMYFUNCTION("""COMPUTED_VALUE"""),0.0)</f>
        <v>0</v>
      </c>
    </row>
    <row r="2186">
      <c r="A2186" s="1">
        <f>IFERROR(__xludf.DUMMYFUNCTION("""COMPUTED_VALUE"""),786394.0)</f>
        <v>786394</v>
      </c>
      <c r="B2186" s="2">
        <f>IFERROR(__xludf.DUMMYFUNCTION("""COMPUTED_VALUE"""),42744.295699251714)</f>
        <v>42744.2957</v>
      </c>
      <c r="C2186" s="1" t="str">
        <f>IFERROR(__xludf.DUMMYFUNCTION("""COMPUTED_VALUE"""),"control")</f>
        <v>control</v>
      </c>
      <c r="D2186" s="1" t="str">
        <f>IFERROR(__xludf.DUMMYFUNCTION("""COMPUTED_VALUE"""),"old_page")</f>
        <v>old_page</v>
      </c>
      <c r="E2186" s="1">
        <f>IFERROR(__xludf.DUMMYFUNCTION("""COMPUTED_VALUE"""),0.0)</f>
        <v>0</v>
      </c>
    </row>
    <row r="2187">
      <c r="A2187" s="1">
        <f>IFERROR(__xludf.DUMMYFUNCTION("""COMPUTED_VALUE"""),895863.0)</f>
        <v>895863</v>
      </c>
      <c r="B2187" s="2">
        <f>IFERROR(__xludf.DUMMYFUNCTION("""COMPUTED_VALUE"""),42743.992737385495)</f>
        <v>42743.99274</v>
      </c>
      <c r="C2187" s="1" t="str">
        <f>IFERROR(__xludf.DUMMYFUNCTION("""COMPUTED_VALUE"""),"treatment")</f>
        <v>treatment</v>
      </c>
      <c r="D2187" s="1" t="str">
        <f>IFERROR(__xludf.DUMMYFUNCTION("""COMPUTED_VALUE"""),"new_page")</f>
        <v>new_page</v>
      </c>
      <c r="E2187" s="1">
        <f>IFERROR(__xludf.DUMMYFUNCTION("""COMPUTED_VALUE"""),0.0)</f>
        <v>0</v>
      </c>
    </row>
    <row r="2188">
      <c r="A2188" s="1">
        <f>IFERROR(__xludf.DUMMYFUNCTION("""COMPUTED_VALUE"""),906139.0)</f>
        <v>906139</v>
      </c>
      <c r="B2188" s="2">
        <f>IFERROR(__xludf.DUMMYFUNCTION("""COMPUTED_VALUE"""),42754.03370496237)</f>
        <v>42754.0337</v>
      </c>
      <c r="C2188" s="1" t="str">
        <f>IFERROR(__xludf.DUMMYFUNCTION("""COMPUTED_VALUE"""),"control")</f>
        <v>control</v>
      </c>
      <c r="D2188" s="1" t="str">
        <f>IFERROR(__xludf.DUMMYFUNCTION("""COMPUTED_VALUE"""),"old_page")</f>
        <v>old_page</v>
      </c>
      <c r="E2188" s="1">
        <f>IFERROR(__xludf.DUMMYFUNCTION("""COMPUTED_VALUE"""),0.0)</f>
        <v>0</v>
      </c>
    </row>
    <row r="2189">
      <c r="A2189" s="1">
        <f>IFERROR(__xludf.DUMMYFUNCTION("""COMPUTED_VALUE"""),768320.0)</f>
        <v>768320</v>
      </c>
      <c r="B2189" s="2">
        <f>IFERROR(__xludf.DUMMYFUNCTION("""COMPUTED_VALUE"""),42740.18004728719)</f>
        <v>42740.18005</v>
      </c>
      <c r="C2189" s="1" t="str">
        <f>IFERROR(__xludf.DUMMYFUNCTION("""COMPUTED_VALUE"""),"control")</f>
        <v>control</v>
      </c>
      <c r="D2189" s="1" t="str">
        <f>IFERROR(__xludf.DUMMYFUNCTION("""COMPUTED_VALUE"""),"old_page")</f>
        <v>old_page</v>
      </c>
      <c r="E2189" s="1">
        <f>IFERROR(__xludf.DUMMYFUNCTION("""COMPUTED_VALUE"""),0.0)</f>
        <v>0</v>
      </c>
    </row>
    <row r="2190">
      <c r="A2190" s="1">
        <f>IFERROR(__xludf.DUMMYFUNCTION("""COMPUTED_VALUE"""),863766.0)</f>
        <v>863766</v>
      </c>
      <c r="B2190" s="2">
        <f>IFERROR(__xludf.DUMMYFUNCTION("""COMPUTED_VALUE"""),42746.35294769021)</f>
        <v>42746.35295</v>
      </c>
      <c r="C2190" s="1" t="str">
        <f>IFERROR(__xludf.DUMMYFUNCTION("""COMPUTED_VALUE"""),"treatment")</f>
        <v>treatment</v>
      </c>
      <c r="D2190" s="1" t="str">
        <f>IFERROR(__xludf.DUMMYFUNCTION("""COMPUTED_VALUE"""),"new_page")</f>
        <v>new_page</v>
      </c>
      <c r="E2190" s="1">
        <f>IFERROR(__xludf.DUMMYFUNCTION("""COMPUTED_VALUE"""),1.0)</f>
        <v>1</v>
      </c>
    </row>
    <row r="2191">
      <c r="A2191" s="1">
        <f>IFERROR(__xludf.DUMMYFUNCTION("""COMPUTED_VALUE"""),942338.0)</f>
        <v>942338</v>
      </c>
      <c r="B2191" s="2">
        <f>IFERROR(__xludf.DUMMYFUNCTION("""COMPUTED_VALUE"""),42745.992674899026)</f>
        <v>42745.99267</v>
      </c>
      <c r="C2191" s="1" t="str">
        <f>IFERROR(__xludf.DUMMYFUNCTION("""COMPUTED_VALUE"""),"treatment")</f>
        <v>treatment</v>
      </c>
      <c r="D2191" s="1" t="str">
        <f>IFERROR(__xludf.DUMMYFUNCTION("""COMPUTED_VALUE"""),"new_page")</f>
        <v>new_page</v>
      </c>
      <c r="E2191" s="1">
        <f>IFERROR(__xludf.DUMMYFUNCTION("""COMPUTED_VALUE"""),0.0)</f>
        <v>0</v>
      </c>
    </row>
    <row r="2192">
      <c r="A2192" s="1">
        <f>IFERROR(__xludf.DUMMYFUNCTION("""COMPUTED_VALUE"""),758122.0)</f>
        <v>758122</v>
      </c>
      <c r="B2192" s="2">
        <f>IFERROR(__xludf.DUMMYFUNCTION("""COMPUTED_VALUE"""),42748.26839613047)</f>
        <v>42748.2684</v>
      </c>
      <c r="C2192" s="1" t="str">
        <f>IFERROR(__xludf.DUMMYFUNCTION("""COMPUTED_VALUE"""),"treatment")</f>
        <v>treatment</v>
      </c>
      <c r="D2192" s="1" t="str">
        <f>IFERROR(__xludf.DUMMYFUNCTION("""COMPUTED_VALUE"""),"new_page")</f>
        <v>new_page</v>
      </c>
      <c r="E2192" s="1">
        <f>IFERROR(__xludf.DUMMYFUNCTION("""COMPUTED_VALUE"""),1.0)</f>
        <v>1</v>
      </c>
    </row>
    <row r="2193">
      <c r="A2193" s="1">
        <f>IFERROR(__xludf.DUMMYFUNCTION("""COMPUTED_VALUE"""),918835.0)</f>
        <v>918835</v>
      </c>
      <c r="B2193" s="2">
        <f>IFERROR(__xludf.DUMMYFUNCTION("""COMPUTED_VALUE"""),42754.14963302922)</f>
        <v>42754.14963</v>
      </c>
      <c r="C2193" s="1" t="str">
        <f>IFERROR(__xludf.DUMMYFUNCTION("""COMPUTED_VALUE"""),"treatment")</f>
        <v>treatment</v>
      </c>
      <c r="D2193" s="1" t="str">
        <f>IFERROR(__xludf.DUMMYFUNCTION("""COMPUTED_VALUE"""),"new_page")</f>
        <v>new_page</v>
      </c>
      <c r="E2193" s="1">
        <f>IFERROR(__xludf.DUMMYFUNCTION("""COMPUTED_VALUE"""),1.0)</f>
        <v>1</v>
      </c>
    </row>
    <row r="2194">
      <c r="A2194" s="1">
        <f>IFERROR(__xludf.DUMMYFUNCTION("""COMPUTED_VALUE"""),723917.0)</f>
        <v>723917</v>
      </c>
      <c r="B2194" s="2">
        <f>IFERROR(__xludf.DUMMYFUNCTION("""COMPUTED_VALUE"""),42752.625610775765)</f>
        <v>42752.62561</v>
      </c>
      <c r="C2194" s="1" t="str">
        <f>IFERROR(__xludf.DUMMYFUNCTION("""COMPUTED_VALUE"""),"treatment")</f>
        <v>treatment</v>
      </c>
      <c r="D2194" s="1" t="str">
        <f>IFERROR(__xludf.DUMMYFUNCTION("""COMPUTED_VALUE"""),"new_page")</f>
        <v>new_page</v>
      </c>
      <c r="E2194" s="1">
        <f>IFERROR(__xludf.DUMMYFUNCTION("""COMPUTED_VALUE"""),1.0)</f>
        <v>1</v>
      </c>
    </row>
    <row r="2195">
      <c r="A2195" s="1">
        <f>IFERROR(__xludf.DUMMYFUNCTION("""COMPUTED_VALUE"""),884890.0)</f>
        <v>884890</v>
      </c>
      <c r="B2195" s="2">
        <f>IFERROR(__xludf.DUMMYFUNCTION("""COMPUTED_VALUE"""),42741.39640503375)</f>
        <v>42741.39641</v>
      </c>
      <c r="C2195" s="1" t="str">
        <f>IFERROR(__xludf.DUMMYFUNCTION("""COMPUTED_VALUE"""),"control")</f>
        <v>control</v>
      </c>
      <c r="D2195" s="1" t="str">
        <f>IFERROR(__xludf.DUMMYFUNCTION("""COMPUTED_VALUE"""),"old_page")</f>
        <v>old_page</v>
      </c>
      <c r="E2195" s="1">
        <f>IFERROR(__xludf.DUMMYFUNCTION("""COMPUTED_VALUE"""),0.0)</f>
        <v>0</v>
      </c>
    </row>
    <row r="2196">
      <c r="A2196" s="1">
        <f>IFERROR(__xludf.DUMMYFUNCTION("""COMPUTED_VALUE"""),760067.0)</f>
        <v>760067</v>
      </c>
      <c r="B2196" s="2">
        <f>IFERROR(__xludf.DUMMYFUNCTION("""COMPUTED_VALUE"""),42754.71462150641)</f>
        <v>42754.71462</v>
      </c>
      <c r="C2196" s="1" t="str">
        <f>IFERROR(__xludf.DUMMYFUNCTION("""COMPUTED_VALUE"""),"control")</f>
        <v>control</v>
      </c>
      <c r="D2196" s="1" t="str">
        <f>IFERROR(__xludf.DUMMYFUNCTION("""COMPUTED_VALUE"""),"old_page")</f>
        <v>old_page</v>
      </c>
      <c r="E2196" s="1">
        <f>IFERROR(__xludf.DUMMYFUNCTION("""COMPUTED_VALUE"""),0.0)</f>
        <v>0</v>
      </c>
    </row>
    <row r="2197">
      <c r="A2197" s="1">
        <f>IFERROR(__xludf.DUMMYFUNCTION("""COMPUTED_VALUE"""),861731.0)</f>
        <v>861731</v>
      </c>
      <c r="B2197" s="2">
        <f>IFERROR(__xludf.DUMMYFUNCTION("""COMPUTED_VALUE"""),42739.00415856346)</f>
        <v>42739.00416</v>
      </c>
      <c r="C2197" s="1" t="str">
        <f>IFERROR(__xludf.DUMMYFUNCTION("""COMPUTED_VALUE"""),"control")</f>
        <v>control</v>
      </c>
      <c r="D2197" s="1" t="str">
        <f>IFERROR(__xludf.DUMMYFUNCTION("""COMPUTED_VALUE"""),"old_page")</f>
        <v>old_page</v>
      </c>
      <c r="E2197" s="1">
        <f>IFERROR(__xludf.DUMMYFUNCTION("""COMPUTED_VALUE"""),0.0)</f>
        <v>0</v>
      </c>
    </row>
    <row r="2198">
      <c r="A2198" s="1">
        <f>IFERROR(__xludf.DUMMYFUNCTION("""COMPUTED_VALUE"""),827331.0)</f>
        <v>827331</v>
      </c>
      <c r="B2198" s="2">
        <f>IFERROR(__xludf.DUMMYFUNCTION("""COMPUTED_VALUE"""),42742.00359955895)</f>
        <v>42742.0036</v>
      </c>
      <c r="C2198" s="1" t="str">
        <f>IFERROR(__xludf.DUMMYFUNCTION("""COMPUTED_VALUE"""),"treatment")</f>
        <v>treatment</v>
      </c>
      <c r="D2198" s="1" t="str">
        <f>IFERROR(__xludf.DUMMYFUNCTION("""COMPUTED_VALUE"""),"new_page")</f>
        <v>new_page</v>
      </c>
      <c r="E2198" s="1">
        <f>IFERROR(__xludf.DUMMYFUNCTION("""COMPUTED_VALUE"""),0.0)</f>
        <v>0</v>
      </c>
    </row>
    <row r="2199">
      <c r="A2199" s="1">
        <f>IFERROR(__xludf.DUMMYFUNCTION("""COMPUTED_VALUE"""),943744.0)</f>
        <v>943744</v>
      </c>
      <c r="B2199" s="2">
        <f>IFERROR(__xludf.DUMMYFUNCTION("""COMPUTED_VALUE"""),42747.14814193457)</f>
        <v>42747.14814</v>
      </c>
      <c r="C2199" s="1" t="str">
        <f>IFERROR(__xludf.DUMMYFUNCTION("""COMPUTED_VALUE"""),"treatment")</f>
        <v>treatment</v>
      </c>
      <c r="D2199" s="1" t="str">
        <f>IFERROR(__xludf.DUMMYFUNCTION("""COMPUTED_VALUE"""),"new_page")</f>
        <v>new_page</v>
      </c>
      <c r="E2199" s="1">
        <f>IFERROR(__xludf.DUMMYFUNCTION("""COMPUTED_VALUE"""),0.0)</f>
        <v>0</v>
      </c>
    </row>
    <row r="2200">
      <c r="A2200" s="1">
        <f>IFERROR(__xludf.DUMMYFUNCTION("""COMPUTED_VALUE"""),699961.0)</f>
        <v>699961</v>
      </c>
      <c r="B2200" s="2">
        <f>IFERROR(__xludf.DUMMYFUNCTION("""COMPUTED_VALUE"""),42744.34016035965)</f>
        <v>42744.34016</v>
      </c>
      <c r="C2200" s="1" t="str">
        <f>IFERROR(__xludf.DUMMYFUNCTION("""COMPUTED_VALUE"""),"treatment")</f>
        <v>treatment</v>
      </c>
      <c r="D2200" s="1" t="str">
        <f>IFERROR(__xludf.DUMMYFUNCTION("""COMPUTED_VALUE"""),"new_page")</f>
        <v>new_page</v>
      </c>
      <c r="E2200" s="1">
        <f>IFERROR(__xludf.DUMMYFUNCTION("""COMPUTED_VALUE"""),0.0)</f>
        <v>0</v>
      </c>
    </row>
    <row r="2201">
      <c r="A2201" s="1">
        <f>IFERROR(__xludf.DUMMYFUNCTION("""COMPUTED_VALUE"""),837006.0)</f>
        <v>837006</v>
      </c>
      <c r="B2201" s="2">
        <f>IFERROR(__xludf.DUMMYFUNCTION("""COMPUTED_VALUE"""),42746.102194735235)</f>
        <v>42746.10219</v>
      </c>
      <c r="C2201" s="1" t="str">
        <f>IFERROR(__xludf.DUMMYFUNCTION("""COMPUTED_VALUE"""),"control")</f>
        <v>control</v>
      </c>
      <c r="D2201" s="1" t="str">
        <f>IFERROR(__xludf.DUMMYFUNCTION("""COMPUTED_VALUE"""),"old_page")</f>
        <v>old_page</v>
      </c>
      <c r="E2201" s="1">
        <f>IFERROR(__xludf.DUMMYFUNCTION("""COMPUTED_VALUE"""),0.0)</f>
        <v>0</v>
      </c>
    </row>
    <row r="2202">
      <c r="A2202" s="1">
        <f>IFERROR(__xludf.DUMMYFUNCTION("""COMPUTED_VALUE"""),710351.0)</f>
        <v>710351</v>
      </c>
      <c r="B2202" s="2">
        <f>IFERROR(__xludf.DUMMYFUNCTION("""COMPUTED_VALUE"""),42751.685743224465)</f>
        <v>42751.68574</v>
      </c>
      <c r="C2202" s="1" t="str">
        <f>IFERROR(__xludf.DUMMYFUNCTION("""COMPUTED_VALUE"""),"treatment")</f>
        <v>treatment</v>
      </c>
      <c r="D2202" s="1" t="str">
        <f>IFERROR(__xludf.DUMMYFUNCTION("""COMPUTED_VALUE"""),"new_page")</f>
        <v>new_page</v>
      </c>
      <c r="E2202" s="1">
        <f>IFERROR(__xludf.DUMMYFUNCTION("""COMPUTED_VALUE"""),0.0)</f>
        <v>0</v>
      </c>
    </row>
    <row r="2203">
      <c r="A2203" s="1">
        <f>IFERROR(__xludf.DUMMYFUNCTION("""COMPUTED_VALUE"""),924077.0)</f>
        <v>924077</v>
      </c>
      <c r="B2203" s="2">
        <f>IFERROR(__xludf.DUMMYFUNCTION("""COMPUTED_VALUE"""),42741.168205094604)</f>
        <v>42741.16821</v>
      </c>
      <c r="C2203" s="1" t="str">
        <f>IFERROR(__xludf.DUMMYFUNCTION("""COMPUTED_VALUE"""),"control")</f>
        <v>control</v>
      </c>
      <c r="D2203" s="1" t="str">
        <f>IFERROR(__xludf.DUMMYFUNCTION("""COMPUTED_VALUE"""),"old_page")</f>
        <v>old_page</v>
      </c>
      <c r="E2203" s="1">
        <f>IFERROR(__xludf.DUMMYFUNCTION("""COMPUTED_VALUE"""),0.0)</f>
        <v>0</v>
      </c>
    </row>
    <row r="2204">
      <c r="A2204" s="1">
        <f>IFERROR(__xludf.DUMMYFUNCTION("""COMPUTED_VALUE"""),938983.0)</f>
        <v>938983</v>
      </c>
      <c r="B2204" s="2">
        <f>IFERROR(__xludf.DUMMYFUNCTION("""COMPUTED_VALUE"""),42744.15228857681)</f>
        <v>42744.15229</v>
      </c>
      <c r="C2204" s="1" t="str">
        <f>IFERROR(__xludf.DUMMYFUNCTION("""COMPUTED_VALUE"""),"treatment")</f>
        <v>treatment</v>
      </c>
      <c r="D2204" s="1" t="str">
        <f>IFERROR(__xludf.DUMMYFUNCTION("""COMPUTED_VALUE"""),"new_page")</f>
        <v>new_page</v>
      </c>
      <c r="E2204" s="1">
        <f>IFERROR(__xludf.DUMMYFUNCTION("""COMPUTED_VALUE"""),0.0)</f>
        <v>0</v>
      </c>
    </row>
    <row r="2205">
      <c r="A2205" s="1">
        <f>IFERROR(__xludf.DUMMYFUNCTION("""COMPUTED_VALUE"""),760350.0)</f>
        <v>760350</v>
      </c>
      <c r="B2205" s="2">
        <f>IFERROR(__xludf.DUMMYFUNCTION("""COMPUTED_VALUE"""),42757.91352851095)</f>
        <v>42757.91353</v>
      </c>
      <c r="C2205" s="1" t="str">
        <f>IFERROR(__xludf.DUMMYFUNCTION("""COMPUTED_VALUE"""),"treatment")</f>
        <v>treatment</v>
      </c>
      <c r="D2205" s="1" t="str">
        <f>IFERROR(__xludf.DUMMYFUNCTION("""COMPUTED_VALUE"""),"new_page")</f>
        <v>new_page</v>
      </c>
      <c r="E2205" s="1">
        <f>IFERROR(__xludf.DUMMYFUNCTION("""COMPUTED_VALUE"""),0.0)</f>
        <v>0</v>
      </c>
    </row>
    <row r="2206">
      <c r="A2206" s="1">
        <f>IFERROR(__xludf.DUMMYFUNCTION("""COMPUTED_VALUE"""),815747.0)</f>
        <v>815747</v>
      </c>
      <c r="B2206" s="2">
        <f>IFERROR(__xludf.DUMMYFUNCTION("""COMPUTED_VALUE"""),42751.135983695356)</f>
        <v>42751.13598</v>
      </c>
      <c r="C2206" s="1" t="str">
        <f>IFERROR(__xludf.DUMMYFUNCTION("""COMPUTED_VALUE"""),"treatment")</f>
        <v>treatment</v>
      </c>
      <c r="D2206" s="1" t="str">
        <f>IFERROR(__xludf.DUMMYFUNCTION("""COMPUTED_VALUE"""),"new_page")</f>
        <v>new_page</v>
      </c>
      <c r="E2206" s="1">
        <f>IFERROR(__xludf.DUMMYFUNCTION("""COMPUTED_VALUE"""),0.0)</f>
        <v>0</v>
      </c>
    </row>
    <row r="2207">
      <c r="A2207" s="1">
        <f>IFERROR(__xludf.DUMMYFUNCTION("""COMPUTED_VALUE"""),837609.0)</f>
        <v>837609</v>
      </c>
      <c r="B2207" s="2">
        <f>IFERROR(__xludf.DUMMYFUNCTION("""COMPUTED_VALUE"""),42740.26378888081)</f>
        <v>42740.26379</v>
      </c>
      <c r="C2207" s="1" t="str">
        <f>IFERROR(__xludf.DUMMYFUNCTION("""COMPUTED_VALUE"""),"treatment")</f>
        <v>treatment</v>
      </c>
      <c r="D2207" s="1" t="str">
        <f>IFERROR(__xludf.DUMMYFUNCTION("""COMPUTED_VALUE"""),"new_page")</f>
        <v>new_page</v>
      </c>
      <c r="E2207" s="1">
        <f>IFERROR(__xludf.DUMMYFUNCTION("""COMPUTED_VALUE"""),0.0)</f>
        <v>0</v>
      </c>
    </row>
    <row r="2208">
      <c r="A2208" s="1">
        <f>IFERROR(__xludf.DUMMYFUNCTION("""COMPUTED_VALUE"""),855506.0)</f>
        <v>855506</v>
      </c>
      <c r="B2208" s="2">
        <f>IFERROR(__xludf.DUMMYFUNCTION("""COMPUTED_VALUE"""),42746.79454425333)</f>
        <v>42746.79454</v>
      </c>
      <c r="C2208" s="1" t="str">
        <f>IFERROR(__xludf.DUMMYFUNCTION("""COMPUTED_VALUE"""),"control")</f>
        <v>control</v>
      </c>
      <c r="D2208" s="1" t="str">
        <f>IFERROR(__xludf.DUMMYFUNCTION("""COMPUTED_VALUE"""),"old_page")</f>
        <v>old_page</v>
      </c>
      <c r="E2208" s="1">
        <f>IFERROR(__xludf.DUMMYFUNCTION("""COMPUTED_VALUE"""),0.0)</f>
        <v>0</v>
      </c>
    </row>
    <row r="2209">
      <c r="A2209" s="1">
        <f>IFERROR(__xludf.DUMMYFUNCTION("""COMPUTED_VALUE"""),671681.0)</f>
        <v>671681</v>
      </c>
      <c r="B2209" s="2">
        <f>IFERROR(__xludf.DUMMYFUNCTION("""COMPUTED_VALUE"""),42756.5455310102)</f>
        <v>42756.54553</v>
      </c>
      <c r="C2209" s="1" t="str">
        <f>IFERROR(__xludf.DUMMYFUNCTION("""COMPUTED_VALUE"""),"treatment")</f>
        <v>treatment</v>
      </c>
      <c r="D2209" s="1" t="str">
        <f>IFERROR(__xludf.DUMMYFUNCTION("""COMPUTED_VALUE"""),"new_page")</f>
        <v>new_page</v>
      </c>
      <c r="E2209" s="1">
        <f>IFERROR(__xludf.DUMMYFUNCTION("""COMPUTED_VALUE"""),0.0)</f>
        <v>0</v>
      </c>
    </row>
    <row r="2210">
      <c r="A2210" s="1">
        <f>IFERROR(__xludf.DUMMYFUNCTION("""COMPUTED_VALUE"""),745488.0)</f>
        <v>745488</v>
      </c>
      <c r="B2210" s="2">
        <f>IFERROR(__xludf.DUMMYFUNCTION("""COMPUTED_VALUE"""),42737.96765255117)</f>
        <v>42737.96765</v>
      </c>
      <c r="C2210" s="1" t="str">
        <f>IFERROR(__xludf.DUMMYFUNCTION("""COMPUTED_VALUE"""),"control")</f>
        <v>control</v>
      </c>
      <c r="D2210" s="1" t="str">
        <f>IFERROR(__xludf.DUMMYFUNCTION("""COMPUTED_VALUE"""),"old_page")</f>
        <v>old_page</v>
      </c>
      <c r="E2210" s="1">
        <f>IFERROR(__xludf.DUMMYFUNCTION("""COMPUTED_VALUE"""),0.0)</f>
        <v>0</v>
      </c>
    </row>
    <row r="2211">
      <c r="A2211" s="1">
        <f>IFERROR(__xludf.DUMMYFUNCTION("""COMPUTED_VALUE"""),636875.0)</f>
        <v>636875</v>
      </c>
      <c r="B2211" s="2">
        <f>IFERROR(__xludf.DUMMYFUNCTION("""COMPUTED_VALUE"""),42751.73017287515)</f>
        <v>42751.73017</v>
      </c>
      <c r="C2211" s="1" t="str">
        <f>IFERROR(__xludf.DUMMYFUNCTION("""COMPUTED_VALUE"""),"control")</f>
        <v>control</v>
      </c>
      <c r="D2211" s="1" t="str">
        <f>IFERROR(__xludf.DUMMYFUNCTION("""COMPUTED_VALUE"""),"old_page")</f>
        <v>old_page</v>
      </c>
      <c r="E2211" s="1">
        <f>IFERROR(__xludf.DUMMYFUNCTION("""COMPUTED_VALUE"""),0.0)</f>
        <v>0</v>
      </c>
    </row>
    <row r="2212">
      <c r="A2212" s="1">
        <f>IFERROR(__xludf.DUMMYFUNCTION("""COMPUTED_VALUE"""),731555.0)</f>
        <v>731555</v>
      </c>
      <c r="B2212" s="2">
        <f>IFERROR(__xludf.DUMMYFUNCTION("""COMPUTED_VALUE"""),42748.59340566801)</f>
        <v>42748.59341</v>
      </c>
      <c r="C2212" s="1" t="str">
        <f>IFERROR(__xludf.DUMMYFUNCTION("""COMPUTED_VALUE"""),"treatment")</f>
        <v>treatment</v>
      </c>
      <c r="D2212" s="1" t="str">
        <f>IFERROR(__xludf.DUMMYFUNCTION("""COMPUTED_VALUE"""),"new_page")</f>
        <v>new_page</v>
      </c>
      <c r="E2212" s="1">
        <f>IFERROR(__xludf.DUMMYFUNCTION("""COMPUTED_VALUE"""),0.0)</f>
        <v>0</v>
      </c>
    </row>
    <row r="2213">
      <c r="A2213" s="1">
        <f>IFERROR(__xludf.DUMMYFUNCTION("""COMPUTED_VALUE"""),682577.0)</f>
        <v>682577</v>
      </c>
      <c r="B2213" s="2">
        <f>IFERROR(__xludf.DUMMYFUNCTION("""COMPUTED_VALUE"""),42757.38750441942)</f>
        <v>42757.3875</v>
      </c>
      <c r="C2213" s="1" t="str">
        <f>IFERROR(__xludf.DUMMYFUNCTION("""COMPUTED_VALUE"""),"treatment")</f>
        <v>treatment</v>
      </c>
      <c r="D2213" s="1" t="str">
        <f>IFERROR(__xludf.DUMMYFUNCTION("""COMPUTED_VALUE"""),"new_page")</f>
        <v>new_page</v>
      </c>
      <c r="E2213" s="1">
        <f>IFERROR(__xludf.DUMMYFUNCTION("""COMPUTED_VALUE"""),0.0)</f>
        <v>0</v>
      </c>
    </row>
    <row r="2214">
      <c r="A2214" s="1">
        <f>IFERROR(__xludf.DUMMYFUNCTION("""COMPUTED_VALUE"""),907732.0)</f>
        <v>907732</v>
      </c>
      <c r="B2214" s="2">
        <f>IFERROR(__xludf.DUMMYFUNCTION("""COMPUTED_VALUE"""),42755.20553738628)</f>
        <v>42755.20554</v>
      </c>
      <c r="C2214" s="1" t="str">
        <f>IFERROR(__xludf.DUMMYFUNCTION("""COMPUTED_VALUE"""),"treatment")</f>
        <v>treatment</v>
      </c>
      <c r="D2214" s="1" t="str">
        <f>IFERROR(__xludf.DUMMYFUNCTION("""COMPUTED_VALUE"""),"new_page")</f>
        <v>new_page</v>
      </c>
      <c r="E2214" s="1">
        <f>IFERROR(__xludf.DUMMYFUNCTION("""COMPUTED_VALUE"""),0.0)</f>
        <v>0</v>
      </c>
    </row>
    <row r="2215">
      <c r="A2215" s="1">
        <f>IFERROR(__xludf.DUMMYFUNCTION("""COMPUTED_VALUE"""),688635.0)</f>
        <v>688635</v>
      </c>
      <c r="B2215" s="2">
        <f>IFERROR(__xludf.DUMMYFUNCTION("""COMPUTED_VALUE"""),42743.54993724552)</f>
        <v>42743.54994</v>
      </c>
      <c r="C2215" s="1" t="str">
        <f>IFERROR(__xludf.DUMMYFUNCTION("""COMPUTED_VALUE"""),"treatment")</f>
        <v>treatment</v>
      </c>
      <c r="D2215" s="1" t="str">
        <f>IFERROR(__xludf.DUMMYFUNCTION("""COMPUTED_VALUE"""),"new_page")</f>
        <v>new_page</v>
      </c>
      <c r="E2215" s="1">
        <f>IFERROR(__xludf.DUMMYFUNCTION("""COMPUTED_VALUE"""),0.0)</f>
        <v>0</v>
      </c>
    </row>
    <row r="2216">
      <c r="A2216" s="1">
        <f>IFERROR(__xludf.DUMMYFUNCTION("""COMPUTED_VALUE"""),649781.0)</f>
        <v>649781</v>
      </c>
      <c r="B2216" s="2">
        <f>IFERROR(__xludf.DUMMYFUNCTION("""COMPUTED_VALUE"""),42755.159963399354)</f>
        <v>42755.15996</v>
      </c>
      <c r="C2216" s="1" t="str">
        <f>IFERROR(__xludf.DUMMYFUNCTION("""COMPUTED_VALUE"""),"control")</f>
        <v>control</v>
      </c>
      <c r="D2216" s="1" t="str">
        <f>IFERROR(__xludf.DUMMYFUNCTION("""COMPUTED_VALUE"""),"new_page")</f>
        <v>new_page</v>
      </c>
      <c r="E2216" s="1">
        <f>IFERROR(__xludf.DUMMYFUNCTION("""COMPUTED_VALUE"""),0.0)</f>
        <v>0</v>
      </c>
    </row>
    <row r="2217">
      <c r="A2217" s="1">
        <f>IFERROR(__xludf.DUMMYFUNCTION("""COMPUTED_VALUE"""),748364.0)</f>
        <v>748364</v>
      </c>
      <c r="B2217" s="2">
        <f>IFERROR(__xludf.DUMMYFUNCTION("""COMPUTED_VALUE"""),42758.0313580681)</f>
        <v>42758.03136</v>
      </c>
      <c r="C2217" s="1" t="str">
        <f>IFERROR(__xludf.DUMMYFUNCTION("""COMPUTED_VALUE"""),"control")</f>
        <v>control</v>
      </c>
      <c r="D2217" s="1" t="str">
        <f>IFERROR(__xludf.DUMMYFUNCTION("""COMPUTED_VALUE"""),"old_page")</f>
        <v>old_page</v>
      </c>
      <c r="E2217" s="1">
        <f>IFERROR(__xludf.DUMMYFUNCTION("""COMPUTED_VALUE"""),0.0)</f>
        <v>0</v>
      </c>
    </row>
    <row r="2218">
      <c r="A2218" s="1">
        <f>IFERROR(__xludf.DUMMYFUNCTION("""COMPUTED_VALUE"""),921675.0)</f>
        <v>921675</v>
      </c>
      <c r="B2218" s="2">
        <f>IFERROR(__xludf.DUMMYFUNCTION("""COMPUTED_VALUE"""),42751.56439529544)</f>
        <v>42751.5644</v>
      </c>
      <c r="C2218" s="1" t="str">
        <f>IFERROR(__xludf.DUMMYFUNCTION("""COMPUTED_VALUE"""),"treatment")</f>
        <v>treatment</v>
      </c>
      <c r="D2218" s="1" t="str">
        <f>IFERROR(__xludf.DUMMYFUNCTION("""COMPUTED_VALUE"""),"new_page")</f>
        <v>new_page</v>
      </c>
      <c r="E2218" s="1">
        <f>IFERROR(__xludf.DUMMYFUNCTION("""COMPUTED_VALUE"""),0.0)</f>
        <v>0</v>
      </c>
    </row>
    <row r="2219">
      <c r="A2219" s="1">
        <f>IFERROR(__xludf.DUMMYFUNCTION("""COMPUTED_VALUE"""),699194.0)</f>
        <v>699194</v>
      </c>
      <c r="B2219" s="2">
        <f>IFERROR(__xludf.DUMMYFUNCTION("""COMPUTED_VALUE"""),42740.980453965996)</f>
        <v>42740.98045</v>
      </c>
      <c r="C2219" s="1" t="str">
        <f>IFERROR(__xludf.DUMMYFUNCTION("""COMPUTED_VALUE"""),"treatment")</f>
        <v>treatment</v>
      </c>
      <c r="D2219" s="1" t="str">
        <f>IFERROR(__xludf.DUMMYFUNCTION("""COMPUTED_VALUE"""),"new_page")</f>
        <v>new_page</v>
      </c>
      <c r="E2219" s="1">
        <f>IFERROR(__xludf.DUMMYFUNCTION("""COMPUTED_VALUE"""),0.0)</f>
        <v>0</v>
      </c>
    </row>
    <row r="2220">
      <c r="A2220" s="1">
        <f>IFERROR(__xludf.DUMMYFUNCTION("""COMPUTED_VALUE"""),903978.0)</f>
        <v>903978</v>
      </c>
      <c r="B2220" s="2">
        <f>IFERROR(__xludf.DUMMYFUNCTION("""COMPUTED_VALUE"""),42743.34798667838)</f>
        <v>42743.34799</v>
      </c>
      <c r="C2220" s="1" t="str">
        <f>IFERROR(__xludf.DUMMYFUNCTION("""COMPUTED_VALUE"""),"control")</f>
        <v>control</v>
      </c>
      <c r="D2220" s="1" t="str">
        <f>IFERROR(__xludf.DUMMYFUNCTION("""COMPUTED_VALUE"""),"old_page")</f>
        <v>old_page</v>
      </c>
      <c r="E2220" s="1">
        <f>IFERROR(__xludf.DUMMYFUNCTION("""COMPUTED_VALUE"""),0.0)</f>
        <v>0</v>
      </c>
    </row>
    <row r="2221">
      <c r="A2221" s="1">
        <f>IFERROR(__xludf.DUMMYFUNCTION("""COMPUTED_VALUE"""),806158.0)</f>
        <v>806158</v>
      </c>
      <c r="B2221" s="2">
        <f>IFERROR(__xludf.DUMMYFUNCTION("""COMPUTED_VALUE"""),42758.2587540983)</f>
        <v>42758.25875</v>
      </c>
      <c r="C2221" s="1" t="str">
        <f>IFERROR(__xludf.DUMMYFUNCTION("""COMPUTED_VALUE"""),"control")</f>
        <v>control</v>
      </c>
      <c r="D2221" s="1" t="str">
        <f>IFERROR(__xludf.DUMMYFUNCTION("""COMPUTED_VALUE"""),"old_page")</f>
        <v>old_page</v>
      </c>
      <c r="E2221" s="1">
        <f>IFERROR(__xludf.DUMMYFUNCTION("""COMPUTED_VALUE"""),0.0)</f>
        <v>0</v>
      </c>
    </row>
    <row r="2222">
      <c r="A2222" s="1">
        <f>IFERROR(__xludf.DUMMYFUNCTION("""COMPUTED_VALUE"""),683398.0)</f>
        <v>683398</v>
      </c>
      <c r="B2222" s="2">
        <f>IFERROR(__xludf.DUMMYFUNCTION("""COMPUTED_VALUE"""),42759.2319588987)</f>
        <v>42759.23196</v>
      </c>
      <c r="C2222" s="1" t="str">
        <f>IFERROR(__xludf.DUMMYFUNCTION("""COMPUTED_VALUE"""),"control")</f>
        <v>control</v>
      </c>
      <c r="D2222" s="1" t="str">
        <f>IFERROR(__xludf.DUMMYFUNCTION("""COMPUTED_VALUE"""),"old_page")</f>
        <v>old_page</v>
      </c>
      <c r="E2222" s="1">
        <f>IFERROR(__xludf.DUMMYFUNCTION("""COMPUTED_VALUE"""),0.0)</f>
        <v>0</v>
      </c>
    </row>
    <row r="2223">
      <c r="A2223" s="1">
        <f>IFERROR(__xludf.DUMMYFUNCTION("""COMPUTED_VALUE"""),687764.0)</f>
        <v>687764</v>
      </c>
      <c r="B2223" s="2">
        <f>IFERROR(__xludf.DUMMYFUNCTION("""COMPUTED_VALUE"""),42750.31789950814)</f>
        <v>42750.3179</v>
      </c>
      <c r="C2223" s="1" t="str">
        <f>IFERROR(__xludf.DUMMYFUNCTION("""COMPUTED_VALUE"""),"control")</f>
        <v>control</v>
      </c>
      <c r="D2223" s="1" t="str">
        <f>IFERROR(__xludf.DUMMYFUNCTION("""COMPUTED_VALUE"""),"old_page")</f>
        <v>old_page</v>
      </c>
      <c r="E2223" s="1">
        <f>IFERROR(__xludf.DUMMYFUNCTION("""COMPUTED_VALUE"""),0.0)</f>
        <v>0</v>
      </c>
    </row>
    <row r="2224">
      <c r="A2224" s="1">
        <f>IFERROR(__xludf.DUMMYFUNCTION("""COMPUTED_VALUE"""),904540.0)</f>
        <v>904540</v>
      </c>
      <c r="B2224" s="2">
        <f>IFERROR(__xludf.DUMMYFUNCTION("""COMPUTED_VALUE"""),42748.273260552196)</f>
        <v>42748.27326</v>
      </c>
      <c r="C2224" s="1" t="str">
        <f>IFERROR(__xludf.DUMMYFUNCTION("""COMPUTED_VALUE"""),"treatment")</f>
        <v>treatment</v>
      </c>
      <c r="D2224" s="1" t="str">
        <f>IFERROR(__xludf.DUMMYFUNCTION("""COMPUTED_VALUE"""),"new_page")</f>
        <v>new_page</v>
      </c>
      <c r="E2224" s="1">
        <f>IFERROR(__xludf.DUMMYFUNCTION("""COMPUTED_VALUE"""),0.0)</f>
        <v>0</v>
      </c>
    </row>
    <row r="2225">
      <c r="A2225" s="1">
        <f>IFERROR(__xludf.DUMMYFUNCTION("""COMPUTED_VALUE"""),650436.0)</f>
        <v>650436</v>
      </c>
      <c r="B2225" s="2">
        <f>IFERROR(__xludf.DUMMYFUNCTION("""COMPUTED_VALUE"""),42743.41352994508)</f>
        <v>42743.41353</v>
      </c>
      <c r="C2225" s="1" t="str">
        <f>IFERROR(__xludf.DUMMYFUNCTION("""COMPUTED_VALUE"""),"treatment")</f>
        <v>treatment</v>
      </c>
      <c r="D2225" s="1" t="str">
        <f>IFERROR(__xludf.DUMMYFUNCTION("""COMPUTED_VALUE"""),"new_page")</f>
        <v>new_page</v>
      </c>
      <c r="E2225" s="1">
        <f>IFERROR(__xludf.DUMMYFUNCTION("""COMPUTED_VALUE"""),0.0)</f>
        <v>0</v>
      </c>
    </row>
    <row r="2226">
      <c r="A2226" s="1">
        <f>IFERROR(__xludf.DUMMYFUNCTION("""COMPUTED_VALUE"""),841008.0)</f>
        <v>841008</v>
      </c>
      <c r="B2226" s="2">
        <f>IFERROR(__xludf.DUMMYFUNCTION("""COMPUTED_VALUE"""),42740.680913135635)</f>
        <v>42740.68091</v>
      </c>
      <c r="C2226" s="1" t="str">
        <f>IFERROR(__xludf.DUMMYFUNCTION("""COMPUTED_VALUE"""),"control")</f>
        <v>control</v>
      </c>
      <c r="D2226" s="1" t="str">
        <f>IFERROR(__xludf.DUMMYFUNCTION("""COMPUTED_VALUE"""),"old_page")</f>
        <v>old_page</v>
      </c>
      <c r="E2226" s="1">
        <f>IFERROR(__xludf.DUMMYFUNCTION("""COMPUTED_VALUE"""),0.0)</f>
        <v>0</v>
      </c>
    </row>
    <row r="2227">
      <c r="A2227" s="1">
        <f>IFERROR(__xludf.DUMMYFUNCTION("""COMPUTED_VALUE"""),711529.0)</f>
        <v>711529</v>
      </c>
      <c r="B2227" s="2">
        <f>IFERROR(__xludf.DUMMYFUNCTION("""COMPUTED_VALUE"""),42751.558421706744)</f>
        <v>42751.55842</v>
      </c>
      <c r="C2227" s="1" t="str">
        <f>IFERROR(__xludf.DUMMYFUNCTION("""COMPUTED_VALUE"""),"control")</f>
        <v>control</v>
      </c>
      <c r="D2227" s="1" t="str">
        <f>IFERROR(__xludf.DUMMYFUNCTION("""COMPUTED_VALUE"""),"old_page")</f>
        <v>old_page</v>
      </c>
      <c r="E2227" s="1">
        <f>IFERROR(__xludf.DUMMYFUNCTION("""COMPUTED_VALUE"""),0.0)</f>
        <v>0</v>
      </c>
    </row>
    <row r="2228">
      <c r="A2228" s="1">
        <f>IFERROR(__xludf.DUMMYFUNCTION("""COMPUTED_VALUE"""),845019.0)</f>
        <v>845019</v>
      </c>
      <c r="B2228" s="2">
        <f>IFERROR(__xludf.DUMMYFUNCTION("""COMPUTED_VALUE"""),42737.948340907045)</f>
        <v>42737.94834</v>
      </c>
      <c r="C2228" s="1" t="str">
        <f>IFERROR(__xludf.DUMMYFUNCTION("""COMPUTED_VALUE"""),"control")</f>
        <v>control</v>
      </c>
      <c r="D2228" s="1" t="str">
        <f>IFERROR(__xludf.DUMMYFUNCTION("""COMPUTED_VALUE"""),"old_page")</f>
        <v>old_page</v>
      </c>
      <c r="E2228" s="1">
        <f>IFERROR(__xludf.DUMMYFUNCTION("""COMPUTED_VALUE"""),0.0)</f>
        <v>0</v>
      </c>
    </row>
    <row r="2229">
      <c r="A2229" s="1">
        <f>IFERROR(__xludf.DUMMYFUNCTION("""COMPUTED_VALUE"""),727065.0)</f>
        <v>727065</v>
      </c>
      <c r="B2229" s="2">
        <f>IFERROR(__xludf.DUMMYFUNCTION("""COMPUTED_VALUE"""),42750.8449864393)</f>
        <v>42750.84499</v>
      </c>
      <c r="C2229" s="1" t="str">
        <f>IFERROR(__xludf.DUMMYFUNCTION("""COMPUTED_VALUE"""),"treatment")</f>
        <v>treatment</v>
      </c>
      <c r="D2229" s="1" t="str">
        <f>IFERROR(__xludf.DUMMYFUNCTION("""COMPUTED_VALUE"""),"new_page")</f>
        <v>new_page</v>
      </c>
      <c r="E2229" s="1">
        <f>IFERROR(__xludf.DUMMYFUNCTION("""COMPUTED_VALUE"""),0.0)</f>
        <v>0</v>
      </c>
    </row>
    <row r="2230">
      <c r="A2230" s="1">
        <f>IFERROR(__xludf.DUMMYFUNCTION("""COMPUTED_VALUE"""),672042.0)</f>
        <v>672042</v>
      </c>
      <c r="B2230" s="2">
        <f>IFERROR(__xludf.DUMMYFUNCTION("""COMPUTED_VALUE"""),42739.96644476598)</f>
        <v>42739.96644</v>
      </c>
      <c r="C2230" s="1" t="str">
        <f>IFERROR(__xludf.DUMMYFUNCTION("""COMPUTED_VALUE"""),"control")</f>
        <v>control</v>
      </c>
      <c r="D2230" s="1" t="str">
        <f>IFERROR(__xludf.DUMMYFUNCTION("""COMPUTED_VALUE"""),"old_page")</f>
        <v>old_page</v>
      </c>
      <c r="E2230" s="1">
        <f>IFERROR(__xludf.DUMMYFUNCTION("""COMPUTED_VALUE"""),0.0)</f>
        <v>0</v>
      </c>
    </row>
    <row r="2231">
      <c r="A2231" s="1">
        <f>IFERROR(__xludf.DUMMYFUNCTION("""COMPUTED_VALUE"""),737848.0)</f>
        <v>737848</v>
      </c>
      <c r="B2231" s="2">
        <f>IFERROR(__xludf.DUMMYFUNCTION("""COMPUTED_VALUE"""),42752.58203886831)</f>
        <v>42752.58204</v>
      </c>
      <c r="C2231" s="1" t="str">
        <f>IFERROR(__xludf.DUMMYFUNCTION("""COMPUTED_VALUE"""),"treatment")</f>
        <v>treatment</v>
      </c>
      <c r="D2231" s="1" t="str">
        <f>IFERROR(__xludf.DUMMYFUNCTION("""COMPUTED_VALUE"""),"new_page")</f>
        <v>new_page</v>
      </c>
      <c r="E2231" s="1">
        <f>IFERROR(__xludf.DUMMYFUNCTION("""COMPUTED_VALUE"""),0.0)</f>
        <v>0</v>
      </c>
    </row>
    <row r="2232">
      <c r="A2232" s="1">
        <f>IFERROR(__xludf.DUMMYFUNCTION("""COMPUTED_VALUE"""),727701.0)</f>
        <v>727701</v>
      </c>
      <c r="B2232" s="2">
        <f>IFERROR(__xludf.DUMMYFUNCTION("""COMPUTED_VALUE"""),42748.93168014783)</f>
        <v>42748.93168</v>
      </c>
      <c r="C2232" s="1" t="str">
        <f>IFERROR(__xludf.DUMMYFUNCTION("""COMPUTED_VALUE"""),"treatment")</f>
        <v>treatment</v>
      </c>
      <c r="D2232" s="1" t="str">
        <f>IFERROR(__xludf.DUMMYFUNCTION("""COMPUTED_VALUE"""),"new_page")</f>
        <v>new_page</v>
      </c>
      <c r="E2232" s="1">
        <f>IFERROR(__xludf.DUMMYFUNCTION("""COMPUTED_VALUE"""),0.0)</f>
        <v>0</v>
      </c>
    </row>
    <row r="2233">
      <c r="A2233" s="1">
        <f>IFERROR(__xludf.DUMMYFUNCTION("""COMPUTED_VALUE"""),723759.0)</f>
        <v>723759</v>
      </c>
      <c r="B2233" s="2">
        <f>IFERROR(__xludf.DUMMYFUNCTION("""COMPUTED_VALUE"""),42739.4530542392)</f>
        <v>42739.45305</v>
      </c>
      <c r="C2233" s="1" t="str">
        <f>IFERROR(__xludf.DUMMYFUNCTION("""COMPUTED_VALUE"""),"control")</f>
        <v>control</v>
      </c>
      <c r="D2233" s="1" t="str">
        <f>IFERROR(__xludf.DUMMYFUNCTION("""COMPUTED_VALUE"""),"old_page")</f>
        <v>old_page</v>
      </c>
      <c r="E2233" s="1">
        <f>IFERROR(__xludf.DUMMYFUNCTION("""COMPUTED_VALUE"""),0.0)</f>
        <v>0</v>
      </c>
    </row>
    <row r="2234">
      <c r="A2234" s="1">
        <f>IFERROR(__xludf.DUMMYFUNCTION("""COMPUTED_VALUE"""),787275.0)</f>
        <v>787275</v>
      </c>
      <c r="B2234" s="2">
        <f>IFERROR(__xludf.DUMMYFUNCTION("""COMPUTED_VALUE"""),42756.57860268871)</f>
        <v>42756.5786</v>
      </c>
      <c r="C2234" s="1" t="str">
        <f>IFERROR(__xludf.DUMMYFUNCTION("""COMPUTED_VALUE"""),"control")</f>
        <v>control</v>
      </c>
      <c r="D2234" s="1" t="str">
        <f>IFERROR(__xludf.DUMMYFUNCTION("""COMPUTED_VALUE"""),"old_page")</f>
        <v>old_page</v>
      </c>
      <c r="E2234" s="1">
        <f>IFERROR(__xludf.DUMMYFUNCTION("""COMPUTED_VALUE"""),0.0)</f>
        <v>0</v>
      </c>
    </row>
    <row r="2235">
      <c r="A2235" s="1">
        <f>IFERROR(__xludf.DUMMYFUNCTION("""COMPUTED_VALUE"""),869707.0)</f>
        <v>869707</v>
      </c>
      <c r="B2235" s="2">
        <f>IFERROR(__xludf.DUMMYFUNCTION("""COMPUTED_VALUE"""),42737.77532664942)</f>
        <v>42737.77533</v>
      </c>
      <c r="C2235" s="1" t="str">
        <f>IFERROR(__xludf.DUMMYFUNCTION("""COMPUTED_VALUE"""),"treatment")</f>
        <v>treatment</v>
      </c>
      <c r="D2235" s="1" t="str">
        <f>IFERROR(__xludf.DUMMYFUNCTION("""COMPUTED_VALUE"""),"old_page")</f>
        <v>old_page</v>
      </c>
      <c r="E2235" s="1">
        <f>IFERROR(__xludf.DUMMYFUNCTION("""COMPUTED_VALUE"""),0.0)</f>
        <v>0</v>
      </c>
    </row>
    <row r="2236">
      <c r="A2236" s="1">
        <f>IFERROR(__xludf.DUMMYFUNCTION("""COMPUTED_VALUE"""),766655.0)</f>
        <v>766655</v>
      </c>
      <c r="B2236" s="2">
        <f>IFERROR(__xludf.DUMMYFUNCTION("""COMPUTED_VALUE"""),42750.06248980451)</f>
        <v>42750.06249</v>
      </c>
      <c r="C2236" s="1" t="str">
        <f>IFERROR(__xludf.DUMMYFUNCTION("""COMPUTED_VALUE"""),"control")</f>
        <v>control</v>
      </c>
      <c r="D2236" s="1" t="str">
        <f>IFERROR(__xludf.DUMMYFUNCTION("""COMPUTED_VALUE"""),"old_page")</f>
        <v>old_page</v>
      </c>
      <c r="E2236" s="1">
        <f>IFERROR(__xludf.DUMMYFUNCTION("""COMPUTED_VALUE"""),0.0)</f>
        <v>0</v>
      </c>
    </row>
    <row r="2237">
      <c r="A2237" s="1">
        <f>IFERROR(__xludf.DUMMYFUNCTION("""COMPUTED_VALUE"""),914119.0)</f>
        <v>914119</v>
      </c>
      <c r="B2237" s="2">
        <f>IFERROR(__xludf.DUMMYFUNCTION("""COMPUTED_VALUE"""),42748.21158487213)</f>
        <v>42748.21158</v>
      </c>
      <c r="C2237" s="1" t="str">
        <f>IFERROR(__xludf.DUMMYFUNCTION("""COMPUTED_VALUE"""),"control")</f>
        <v>control</v>
      </c>
      <c r="D2237" s="1" t="str">
        <f>IFERROR(__xludf.DUMMYFUNCTION("""COMPUTED_VALUE"""),"old_page")</f>
        <v>old_page</v>
      </c>
      <c r="E2237" s="1">
        <f>IFERROR(__xludf.DUMMYFUNCTION("""COMPUTED_VALUE"""),0.0)</f>
        <v>0</v>
      </c>
    </row>
    <row r="2238">
      <c r="A2238" s="1">
        <f>IFERROR(__xludf.DUMMYFUNCTION("""COMPUTED_VALUE"""),773226.0)</f>
        <v>773226</v>
      </c>
      <c r="B2238" s="2">
        <f>IFERROR(__xludf.DUMMYFUNCTION("""COMPUTED_VALUE"""),42739.213760254905)</f>
        <v>42739.21376</v>
      </c>
      <c r="C2238" s="1" t="str">
        <f>IFERROR(__xludf.DUMMYFUNCTION("""COMPUTED_VALUE"""),"control")</f>
        <v>control</v>
      </c>
      <c r="D2238" s="1" t="str">
        <f>IFERROR(__xludf.DUMMYFUNCTION("""COMPUTED_VALUE"""),"old_page")</f>
        <v>old_page</v>
      </c>
      <c r="E2238" s="1">
        <f>IFERROR(__xludf.DUMMYFUNCTION("""COMPUTED_VALUE"""),0.0)</f>
        <v>0</v>
      </c>
    </row>
    <row r="2239">
      <c r="A2239" s="1">
        <f>IFERROR(__xludf.DUMMYFUNCTION("""COMPUTED_VALUE"""),895911.0)</f>
        <v>895911</v>
      </c>
      <c r="B2239" s="2">
        <f>IFERROR(__xludf.DUMMYFUNCTION("""COMPUTED_VALUE"""),42742.51311521537)</f>
        <v>42742.51312</v>
      </c>
      <c r="C2239" s="1" t="str">
        <f>IFERROR(__xludf.DUMMYFUNCTION("""COMPUTED_VALUE"""),"treatment")</f>
        <v>treatment</v>
      </c>
      <c r="D2239" s="1" t="str">
        <f>IFERROR(__xludf.DUMMYFUNCTION("""COMPUTED_VALUE"""),"new_page")</f>
        <v>new_page</v>
      </c>
      <c r="E2239" s="1">
        <f>IFERROR(__xludf.DUMMYFUNCTION("""COMPUTED_VALUE"""),0.0)</f>
        <v>0</v>
      </c>
    </row>
    <row r="2240">
      <c r="A2240" s="1">
        <f>IFERROR(__xludf.DUMMYFUNCTION("""COMPUTED_VALUE"""),796778.0)</f>
        <v>796778</v>
      </c>
      <c r="B2240" s="2">
        <f>IFERROR(__xludf.DUMMYFUNCTION("""COMPUTED_VALUE"""),42756.68949815394)</f>
        <v>42756.6895</v>
      </c>
      <c r="C2240" s="1" t="str">
        <f>IFERROR(__xludf.DUMMYFUNCTION("""COMPUTED_VALUE"""),"treatment")</f>
        <v>treatment</v>
      </c>
      <c r="D2240" s="1" t="str">
        <f>IFERROR(__xludf.DUMMYFUNCTION("""COMPUTED_VALUE"""),"new_page")</f>
        <v>new_page</v>
      </c>
      <c r="E2240" s="1">
        <f>IFERROR(__xludf.DUMMYFUNCTION("""COMPUTED_VALUE"""),0.0)</f>
        <v>0</v>
      </c>
    </row>
    <row r="2241">
      <c r="A2241" s="1">
        <f>IFERROR(__xludf.DUMMYFUNCTION("""COMPUTED_VALUE"""),875107.0)</f>
        <v>875107</v>
      </c>
      <c r="B2241" s="2">
        <f>IFERROR(__xludf.DUMMYFUNCTION("""COMPUTED_VALUE"""),42749.86850681841)</f>
        <v>42749.86851</v>
      </c>
      <c r="C2241" s="1" t="str">
        <f>IFERROR(__xludf.DUMMYFUNCTION("""COMPUTED_VALUE"""),"treatment")</f>
        <v>treatment</v>
      </c>
      <c r="D2241" s="1" t="str">
        <f>IFERROR(__xludf.DUMMYFUNCTION("""COMPUTED_VALUE"""),"new_page")</f>
        <v>new_page</v>
      </c>
      <c r="E2241" s="1">
        <f>IFERROR(__xludf.DUMMYFUNCTION("""COMPUTED_VALUE"""),0.0)</f>
        <v>0</v>
      </c>
    </row>
    <row r="2242">
      <c r="A2242" s="1">
        <f>IFERROR(__xludf.DUMMYFUNCTION("""COMPUTED_VALUE"""),672192.0)</f>
        <v>672192</v>
      </c>
      <c r="B2242" s="2">
        <f>IFERROR(__xludf.DUMMYFUNCTION("""COMPUTED_VALUE"""),42757.7192528369)</f>
        <v>42757.71925</v>
      </c>
      <c r="C2242" s="1" t="str">
        <f>IFERROR(__xludf.DUMMYFUNCTION("""COMPUTED_VALUE"""),"control")</f>
        <v>control</v>
      </c>
      <c r="D2242" s="1" t="str">
        <f>IFERROR(__xludf.DUMMYFUNCTION("""COMPUTED_VALUE"""),"old_page")</f>
        <v>old_page</v>
      </c>
      <c r="E2242" s="1">
        <f>IFERROR(__xludf.DUMMYFUNCTION("""COMPUTED_VALUE"""),0.0)</f>
        <v>0</v>
      </c>
    </row>
    <row r="2243">
      <c r="A2243" s="1">
        <f>IFERROR(__xludf.DUMMYFUNCTION("""COMPUTED_VALUE"""),776475.0)</f>
        <v>776475</v>
      </c>
      <c r="B2243" s="2">
        <f>IFERROR(__xludf.DUMMYFUNCTION("""COMPUTED_VALUE"""),42746.34486719124)</f>
        <v>42746.34487</v>
      </c>
      <c r="C2243" s="1" t="str">
        <f>IFERROR(__xludf.DUMMYFUNCTION("""COMPUTED_VALUE"""),"treatment")</f>
        <v>treatment</v>
      </c>
      <c r="D2243" s="1" t="str">
        <f>IFERROR(__xludf.DUMMYFUNCTION("""COMPUTED_VALUE"""),"new_page")</f>
        <v>new_page</v>
      </c>
      <c r="E2243" s="1">
        <f>IFERROR(__xludf.DUMMYFUNCTION("""COMPUTED_VALUE"""),0.0)</f>
        <v>0</v>
      </c>
    </row>
    <row r="2244">
      <c r="A2244" s="1">
        <f>IFERROR(__xludf.DUMMYFUNCTION("""COMPUTED_VALUE"""),789632.0)</f>
        <v>789632</v>
      </c>
      <c r="B2244" s="2">
        <f>IFERROR(__xludf.DUMMYFUNCTION("""COMPUTED_VALUE"""),42758.46248122554)</f>
        <v>42758.46248</v>
      </c>
      <c r="C2244" s="1" t="str">
        <f>IFERROR(__xludf.DUMMYFUNCTION("""COMPUTED_VALUE"""),"control")</f>
        <v>control</v>
      </c>
      <c r="D2244" s="1" t="str">
        <f>IFERROR(__xludf.DUMMYFUNCTION("""COMPUTED_VALUE"""),"old_page")</f>
        <v>old_page</v>
      </c>
      <c r="E2244" s="1">
        <f>IFERROR(__xludf.DUMMYFUNCTION("""COMPUTED_VALUE"""),0.0)</f>
        <v>0</v>
      </c>
    </row>
    <row r="2245">
      <c r="A2245" s="1">
        <f>IFERROR(__xludf.DUMMYFUNCTION("""COMPUTED_VALUE"""),844170.0)</f>
        <v>844170</v>
      </c>
      <c r="B2245" s="2">
        <f>IFERROR(__xludf.DUMMYFUNCTION("""COMPUTED_VALUE"""),42747.1843359177)</f>
        <v>42747.18434</v>
      </c>
      <c r="C2245" s="1" t="str">
        <f>IFERROR(__xludf.DUMMYFUNCTION("""COMPUTED_VALUE"""),"control")</f>
        <v>control</v>
      </c>
      <c r="D2245" s="1" t="str">
        <f>IFERROR(__xludf.DUMMYFUNCTION("""COMPUTED_VALUE"""),"old_page")</f>
        <v>old_page</v>
      </c>
      <c r="E2245" s="1">
        <f>IFERROR(__xludf.DUMMYFUNCTION("""COMPUTED_VALUE"""),0.0)</f>
        <v>0</v>
      </c>
    </row>
    <row r="2246">
      <c r="A2246" s="1">
        <f>IFERROR(__xludf.DUMMYFUNCTION("""COMPUTED_VALUE"""),788696.0)</f>
        <v>788696</v>
      </c>
      <c r="B2246" s="2">
        <f>IFERROR(__xludf.DUMMYFUNCTION("""COMPUTED_VALUE"""),42741.21024918869)</f>
        <v>42741.21025</v>
      </c>
      <c r="C2246" s="1" t="str">
        <f>IFERROR(__xludf.DUMMYFUNCTION("""COMPUTED_VALUE"""),"treatment")</f>
        <v>treatment</v>
      </c>
      <c r="D2246" s="1" t="str">
        <f>IFERROR(__xludf.DUMMYFUNCTION("""COMPUTED_VALUE"""),"new_page")</f>
        <v>new_page</v>
      </c>
      <c r="E2246" s="1">
        <f>IFERROR(__xludf.DUMMYFUNCTION("""COMPUTED_VALUE"""),0.0)</f>
        <v>0</v>
      </c>
    </row>
    <row r="2247">
      <c r="A2247" s="1">
        <f>IFERROR(__xludf.DUMMYFUNCTION("""COMPUTED_VALUE"""),740362.0)</f>
        <v>740362</v>
      </c>
      <c r="B2247" s="2">
        <f>IFERROR(__xludf.DUMMYFUNCTION("""COMPUTED_VALUE"""),42758.356011482014)</f>
        <v>42758.35601</v>
      </c>
      <c r="C2247" s="1" t="str">
        <f>IFERROR(__xludf.DUMMYFUNCTION("""COMPUTED_VALUE"""),"treatment")</f>
        <v>treatment</v>
      </c>
      <c r="D2247" s="1" t="str">
        <f>IFERROR(__xludf.DUMMYFUNCTION("""COMPUTED_VALUE"""),"new_page")</f>
        <v>new_page</v>
      </c>
      <c r="E2247" s="1">
        <f>IFERROR(__xludf.DUMMYFUNCTION("""COMPUTED_VALUE"""),0.0)</f>
        <v>0</v>
      </c>
    </row>
    <row r="2248">
      <c r="A2248" s="1">
        <f>IFERROR(__xludf.DUMMYFUNCTION("""COMPUTED_VALUE"""),678387.0)</f>
        <v>678387</v>
      </c>
      <c r="B2248" s="2">
        <f>IFERROR(__xludf.DUMMYFUNCTION("""COMPUTED_VALUE"""),42753.98408358287)</f>
        <v>42753.98408</v>
      </c>
      <c r="C2248" s="1" t="str">
        <f>IFERROR(__xludf.DUMMYFUNCTION("""COMPUTED_VALUE"""),"control")</f>
        <v>control</v>
      </c>
      <c r="D2248" s="1" t="str">
        <f>IFERROR(__xludf.DUMMYFUNCTION("""COMPUTED_VALUE"""),"old_page")</f>
        <v>old_page</v>
      </c>
      <c r="E2248" s="1">
        <f>IFERROR(__xludf.DUMMYFUNCTION("""COMPUTED_VALUE"""),0.0)</f>
        <v>0</v>
      </c>
    </row>
    <row r="2249">
      <c r="A2249" s="1">
        <f>IFERROR(__xludf.DUMMYFUNCTION("""COMPUTED_VALUE"""),792887.0)</f>
        <v>792887</v>
      </c>
      <c r="B2249" s="2">
        <f>IFERROR(__xludf.DUMMYFUNCTION("""COMPUTED_VALUE"""),42744.5575917049)</f>
        <v>42744.55759</v>
      </c>
      <c r="C2249" s="1" t="str">
        <f>IFERROR(__xludf.DUMMYFUNCTION("""COMPUTED_VALUE"""),"treatment")</f>
        <v>treatment</v>
      </c>
      <c r="D2249" s="1" t="str">
        <f>IFERROR(__xludf.DUMMYFUNCTION("""COMPUTED_VALUE"""),"new_page")</f>
        <v>new_page</v>
      </c>
      <c r="E2249" s="1">
        <f>IFERROR(__xludf.DUMMYFUNCTION("""COMPUTED_VALUE"""),0.0)</f>
        <v>0</v>
      </c>
    </row>
    <row r="2250">
      <c r="A2250" s="1">
        <f>IFERROR(__xludf.DUMMYFUNCTION("""COMPUTED_VALUE"""),911554.0)</f>
        <v>911554</v>
      </c>
      <c r="B2250" s="2">
        <f>IFERROR(__xludf.DUMMYFUNCTION("""COMPUTED_VALUE"""),42744.577378848495)</f>
        <v>42744.57738</v>
      </c>
      <c r="C2250" s="1" t="str">
        <f>IFERROR(__xludf.DUMMYFUNCTION("""COMPUTED_VALUE"""),"control")</f>
        <v>control</v>
      </c>
      <c r="D2250" s="1" t="str">
        <f>IFERROR(__xludf.DUMMYFUNCTION("""COMPUTED_VALUE"""),"old_page")</f>
        <v>old_page</v>
      </c>
      <c r="E2250" s="1">
        <f>IFERROR(__xludf.DUMMYFUNCTION("""COMPUTED_VALUE"""),0.0)</f>
        <v>0</v>
      </c>
    </row>
    <row r="2251">
      <c r="A2251" s="1">
        <f>IFERROR(__xludf.DUMMYFUNCTION("""COMPUTED_VALUE"""),849584.0)</f>
        <v>849584</v>
      </c>
      <c r="B2251" s="2">
        <f>IFERROR(__xludf.DUMMYFUNCTION("""COMPUTED_VALUE"""),42744.86475409013)</f>
        <v>42744.86475</v>
      </c>
      <c r="C2251" s="1" t="str">
        <f>IFERROR(__xludf.DUMMYFUNCTION("""COMPUTED_VALUE"""),"treatment")</f>
        <v>treatment</v>
      </c>
      <c r="D2251" s="1" t="str">
        <f>IFERROR(__xludf.DUMMYFUNCTION("""COMPUTED_VALUE"""),"new_page")</f>
        <v>new_page</v>
      </c>
      <c r="E2251" s="1">
        <f>IFERROR(__xludf.DUMMYFUNCTION("""COMPUTED_VALUE"""),0.0)</f>
        <v>0</v>
      </c>
    </row>
    <row r="2252">
      <c r="A2252" s="1">
        <f>IFERROR(__xludf.DUMMYFUNCTION("""COMPUTED_VALUE"""),825975.0)</f>
        <v>825975</v>
      </c>
      <c r="B2252" s="2">
        <f>IFERROR(__xludf.DUMMYFUNCTION("""COMPUTED_VALUE"""),42758.53068827918)</f>
        <v>42758.53069</v>
      </c>
      <c r="C2252" s="1" t="str">
        <f>IFERROR(__xludf.DUMMYFUNCTION("""COMPUTED_VALUE"""),"control")</f>
        <v>control</v>
      </c>
      <c r="D2252" s="1" t="str">
        <f>IFERROR(__xludf.DUMMYFUNCTION("""COMPUTED_VALUE"""),"old_page")</f>
        <v>old_page</v>
      </c>
      <c r="E2252" s="1">
        <f>IFERROR(__xludf.DUMMYFUNCTION("""COMPUTED_VALUE"""),0.0)</f>
        <v>0</v>
      </c>
    </row>
    <row r="2253">
      <c r="A2253" s="1">
        <f>IFERROR(__xludf.DUMMYFUNCTION("""COMPUTED_VALUE"""),702086.0)</f>
        <v>702086</v>
      </c>
      <c r="B2253" s="2">
        <f>IFERROR(__xludf.DUMMYFUNCTION("""COMPUTED_VALUE"""),42751.00910317241)</f>
        <v>42751.0091</v>
      </c>
      <c r="C2253" s="1" t="str">
        <f>IFERROR(__xludf.DUMMYFUNCTION("""COMPUTED_VALUE"""),"treatment")</f>
        <v>treatment</v>
      </c>
      <c r="D2253" s="1" t="str">
        <f>IFERROR(__xludf.DUMMYFUNCTION("""COMPUTED_VALUE"""),"new_page")</f>
        <v>new_page</v>
      </c>
      <c r="E2253" s="1">
        <f>IFERROR(__xludf.DUMMYFUNCTION("""COMPUTED_VALUE"""),0.0)</f>
        <v>0</v>
      </c>
    </row>
    <row r="2254">
      <c r="A2254" s="1">
        <f>IFERROR(__xludf.DUMMYFUNCTION("""COMPUTED_VALUE"""),875311.0)</f>
        <v>875311</v>
      </c>
      <c r="B2254" s="2">
        <f>IFERROR(__xludf.DUMMYFUNCTION("""COMPUTED_VALUE"""),42757.70888464039)</f>
        <v>42757.70888</v>
      </c>
      <c r="C2254" s="1" t="str">
        <f>IFERROR(__xludf.DUMMYFUNCTION("""COMPUTED_VALUE"""),"treatment")</f>
        <v>treatment</v>
      </c>
      <c r="D2254" s="1" t="str">
        <f>IFERROR(__xludf.DUMMYFUNCTION("""COMPUTED_VALUE"""),"new_page")</f>
        <v>new_page</v>
      </c>
      <c r="E2254" s="1">
        <f>IFERROR(__xludf.DUMMYFUNCTION("""COMPUTED_VALUE"""),0.0)</f>
        <v>0</v>
      </c>
    </row>
    <row r="2255">
      <c r="A2255" s="1">
        <f>IFERROR(__xludf.DUMMYFUNCTION("""COMPUTED_VALUE"""),849861.0)</f>
        <v>849861</v>
      </c>
      <c r="B2255" s="2">
        <f>IFERROR(__xludf.DUMMYFUNCTION("""COMPUTED_VALUE"""),42746.23250873611)</f>
        <v>42746.23251</v>
      </c>
      <c r="C2255" s="1" t="str">
        <f>IFERROR(__xludf.DUMMYFUNCTION("""COMPUTED_VALUE"""),"control")</f>
        <v>control</v>
      </c>
      <c r="D2255" s="1" t="str">
        <f>IFERROR(__xludf.DUMMYFUNCTION("""COMPUTED_VALUE"""),"old_page")</f>
        <v>old_page</v>
      </c>
      <c r="E2255" s="1">
        <f>IFERROR(__xludf.DUMMYFUNCTION("""COMPUTED_VALUE"""),0.0)</f>
        <v>0</v>
      </c>
    </row>
    <row r="2256">
      <c r="A2256" s="1">
        <f>IFERROR(__xludf.DUMMYFUNCTION("""COMPUTED_VALUE"""),919723.0)</f>
        <v>919723</v>
      </c>
      <c r="B2256" s="2">
        <f>IFERROR(__xludf.DUMMYFUNCTION("""COMPUTED_VALUE"""),42750.38771434716)</f>
        <v>42750.38771</v>
      </c>
      <c r="C2256" s="1" t="str">
        <f>IFERROR(__xludf.DUMMYFUNCTION("""COMPUTED_VALUE"""),"control")</f>
        <v>control</v>
      </c>
      <c r="D2256" s="1" t="str">
        <f>IFERROR(__xludf.DUMMYFUNCTION("""COMPUTED_VALUE"""),"old_page")</f>
        <v>old_page</v>
      </c>
      <c r="E2256" s="1">
        <f>IFERROR(__xludf.DUMMYFUNCTION("""COMPUTED_VALUE"""),0.0)</f>
        <v>0</v>
      </c>
    </row>
    <row r="2257">
      <c r="A2257" s="1">
        <f>IFERROR(__xludf.DUMMYFUNCTION("""COMPUTED_VALUE"""),672897.0)</f>
        <v>672897</v>
      </c>
      <c r="B2257" s="2">
        <f>IFERROR(__xludf.DUMMYFUNCTION("""COMPUTED_VALUE"""),42759.090007583)</f>
        <v>42759.09001</v>
      </c>
      <c r="C2257" s="1" t="str">
        <f>IFERROR(__xludf.DUMMYFUNCTION("""COMPUTED_VALUE"""),"control")</f>
        <v>control</v>
      </c>
      <c r="D2257" s="1" t="str">
        <f>IFERROR(__xludf.DUMMYFUNCTION("""COMPUTED_VALUE"""),"old_page")</f>
        <v>old_page</v>
      </c>
      <c r="E2257" s="1">
        <f>IFERROR(__xludf.DUMMYFUNCTION("""COMPUTED_VALUE"""),0.0)</f>
        <v>0</v>
      </c>
    </row>
    <row r="2258">
      <c r="A2258" s="1">
        <f>IFERROR(__xludf.DUMMYFUNCTION("""COMPUTED_VALUE"""),749962.0)</f>
        <v>749962</v>
      </c>
      <c r="B2258" s="2">
        <f>IFERROR(__xludf.DUMMYFUNCTION("""COMPUTED_VALUE"""),42751.19686940647)</f>
        <v>42751.19687</v>
      </c>
      <c r="C2258" s="1" t="str">
        <f>IFERROR(__xludf.DUMMYFUNCTION("""COMPUTED_VALUE"""),"treatment")</f>
        <v>treatment</v>
      </c>
      <c r="D2258" s="1" t="str">
        <f>IFERROR(__xludf.DUMMYFUNCTION("""COMPUTED_VALUE"""),"new_page")</f>
        <v>new_page</v>
      </c>
      <c r="E2258" s="1">
        <f>IFERROR(__xludf.DUMMYFUNCTION("""COMPUTED_VALUE"""),0.0)</f>
        <v>0</v>
      </c>
    </row>
    <row r="2259">
      <c r="A2259" s="1">
        <f>IFERROR(__xludf.DUMMYFUNCTION("""COMPUTED_VALUE"""),906951.0)</f>
        <v>906951</v>
      </c>
      <c r="B2259" s="2">
        <f>IFERROR(__xludf.DUMMYFUNCTION("""COMPUTED_VALUE"""),42737.87996508773)</f>
        <v>42737.87997</v>
      </c>
      <c r="C2259" s="1" t="str">
        <f>IFERROR(__xludf.DUMMYFUNCTION("""COMPUTED_VALUE"""),"control")</f>
        <v>control</v>
      </c>
      <c r="D2259" s="1" t="str">
        <f>IFERROR(__xludf.DUMMYFUNCTION("""COMPUTED_VALUE"""),"old_page")</f>
        <v>old_page</v>
      </c>
      <c r="E2259" s="1">
        <f>IFERROR(__xludf.DUMMYFUNCTION("""COMPUTED_VALUE"""),0.0)</f>
        <v>0</v>
      </c>
    </row>
    <row r="2260">
      <c r="A2260" s="1">
        <f>IFERROR(__xludf.DUMMYFUNCTION("""COMPUTED_VALUE"""),639693.0)</f>
        <v>639693</v>
      </c>
      <c r="B2260" s="2">
        <f>IFERROR(__xludf.DUMMYFUNCTION("""COMPUTED_VALUE"""),42758.07130580038)</f>
        <v>42758.07131</v>
      </c>
      <c r="C2260" s="1" t="str">
        <f>IFERROR(__xludf.DUMMYFUNCTION("""COMPUTED_VALUE"""),"treatment")</f>
        <v>treatment</v>
      </c>
      <c r="D2260" s="1" t="str">
        <f>IFERROR(__xludf.DUMMYFUNCTION("""COMPUTED_VALUE"""),"new_page")</f>
        <v>new_page</v>
      </c>
      <c r="E2260" s="1">
        <f>IFERROR(__xludf.DUMMYFUNCTION("""COMPUTED_VALUE"""),1.0)</f>
        <v>1</v>
      </c>
    </row>
    <row r="2261">
      <c r="A2261" s="1">
        <f>IFERROR(__xludf.DUMMYFUNCTION("""COMPUTED_VALUE"""),852279.0)</f>
        <v>852279</v>
      </c>
      <c r="B2261" s="2">
        <f>IFERROR(__xludf.DUMMYFUNCTION("""COMPUTED_VALUE"""),42745.646183407625)</f>
        <v>42745.64618</v>
      </c>
      <c r="C2261" s="1" t="str">
        <f>IFERROR(__xludf.DUMMYFUNCTION("""COMPUTED_VALUE"""),"control")</f>
        <v>control</v>
      </c>
      <c r="D2261" s="1" t="str">
        <f>IFERROR(__xludf.DUMMYFUNCTION("""COMPUTED_VALUE"""),"old_page")</f>
        <v>old_page</v>
      </c>
      <c r="E2261" s="1">
        <f>IFERROR(__xludf.DUMMYFUNCTION("""COMPUTED_VALUE"""),0.0)</f>
        <v>0</v>
      </c>
    </row>
    <row r="2262">
      <c r="A2262" s="1">
        <f>IFERROR(__xludf.DUMMYFUNCTION("""COMPUTED_VALUE"""),867305.0)</f>
        <v>867305</v>
      </c>
      <c r="B2262" s="2">
        <f>IFERROR(__xludf.DUMMYFUNCTION("""COMPUTED_VALUE"""),42755.352845632755)</f>
        <v>42755.35285</v>
      </c>
      <c r="C2262" s="1" t="str">
        <f>IFERROR(__xludf.DUMMYFUNCTION("""COMPUTED_VALUE"""),"control")</f>
        <v>control</v>
      </c>
      <c r="D2262" s="1" t="str">
        <f>IFERROR(__xludf.DUMMYFUNCTION("""COMPUTED_VALUE"""),"old_page")</f>
        <v>old_page</v>
      </c>
      <c r="E2262" s="1">
        <f>IFERROR(__xludf.DUMMYFUNCTION("""COMPUTED_VALUE"""),0.0)</f>
        <v>0</v>
      </c>
    </row>
    <row r="2263">
      <c r="A2263" s="1">
        <f>IFERROR(__xludf.DUMMYFUNCTION("""COMPUTED_VALUE"""),843927.0)</f>
        <v>843927</v>
      </c>
      <c r="B2263" s="2">
        <f>IFERROR(__xludf.DUMMYFUNCTION("""COMPUTED_VALUE"""),42746.48738702259)</f>
        <v>42746.48739</v>
      </c>
      <c r="C2263" s="1" t="str">
        <f>IFERROR(__xludf.DUMMYFUNCTION("""COMPUTED_VALUE"""),"control")</f>
        <v>control</v>
      </c>
      <c r="D2263" s="1" t="str">
        <f>IFERROR(__xludf.DUMMYFUNCTION("""COMPUTED_VALUE"""),"old_page")</f>
        <v>old_page</v>
      </c>
      <c r="E2263" s="1">
        <f>IFERROR(__xludf.DUMMYFUNCTION("""COMPUTED_VALUE"""),0.0)</f>
        <v>0</v>
      </c>
    </row>
    <row r="2264">
      <c r="A2264" s="1">
        <f>IFERROR(__xludf.DUMMYFUNCTION("""COMPUTED_VALUE"""),844239.0)</f>
        <v>844239</v>
      </c>
      <c r="B2264" s="2">
        <f>IFERROR(__xludf.DUMMYFUNCTION("""COMPUTED_VALUE"""),42752.85940605125)</f>
        <v>42752.85941</v>
      </c>
      <c r="C2264" s="1" t="str">
        <f>IFERROR(__xludf.DUMMYFUNCTION("""COMPUTED_VALUE"""),"treatment")</f>
        <v>treatment</v>
      </c>
      <c r="D2264" s="1" t="str">
        <f>IFERROR(__xludf.DUMMYFUNCTION("""COMPUTED_VALUE"""),"new_page")</f>
        <v>new_page</v>
      </c>
      <c r="E2264" s="1">
        <f>IFERROR(__xludf.DUMMYFUNCTION("""COMPUTED_VALUE"""),0.0)</f>
        <v>0</v>
      </c>
    </row>
    <row r="2265">
      <c r="A2265" s="1">
        <f>IFERROR(__xludf.DUMMYFUNCTION("""COMPUTED_VALUE"""),757518.0)</f>
        <v>757518</v>
      </c>
      <c r="B2265" s="2">
        <f>IFERROR(__xludf.DUMMYFUNCTION("""COMPUTED_VALUE"""),42744.927272842324)</f>
        <v>42744.92727</v>
      </c>
      <c r="C2265" s="1" t="str">
        <f>IFERROR(__xludf.DUMMYFUNCTION("""COMPUTED_VALUE"""),"treatment")</f>
        <v>treatment</v>
      </c>
      <c r="D2265" s="1" t="str">
        <f>IFERROR(__xludf.DUMMYFUNCTION("""COMPUTED_VALUE"""),"new_page")</f>
        <v>new_page</v>
      </c>
      <c r="E2265" s="1">
        <f>IFERROR(__xludf.DUMMYFUNCTION("""COMPUTED_VALUE"""),0.0)</f>
        <v>0</v>
      </c>
    </row>
    <row r="2266">
      <c r="A2266" s="1">
        <f>IFERROR(__xludf.DUMMYFUNCTION("""COMPUTED_VALUE"""),638650.0)</f>
        <v>638650</v>
      </c>
      <c r="B2266" s="2">
        <f>IFERROR(__xludf.DUMMYFUNCTION("""COMPUTED_VALUE"""),42754.93244099233)</f>
        <v>42754.93244</v>
      </c>
      <c r="C2266" s="1" t="str">
        <f>IFERROR(__xludf.DUMMYFUNCTION("""COMPUTED_VALUE"""),"control")</f>
        <v>control</v>
      </c>
      <c r="D2266" s="1" t="str">
        <f>IFERROR(__xludf.DUMMYFUNCTION("""COMPUTED_VALUE"""),"old_page")</f>
        <v>old_page</v>
      </c>
      <c r="E2266" s="1">
        <f>IFERROR(__xludf.DUMMYFUNCTION("""COMPUTED_VALUE"""),0.0)</f>
        <v>0</v>
      </c>
    </row>
    <row r="2267">
      <c r="A2267" s="1">
        <f>IFERROR(__xludf.DUMMYFUNCTION("""COMPUTED_VALUE"""),671625.0)</f>
        <v>671625</v>
      </c>
      <c r="B2267" s="2">
        <f>IFERROR(__xludf.DUMMYFUNCTION("""COMPUTED_VALUE"""),42741.28167706087)</f>
        <v>42741.28168</v>
      </c>
      <c r="C2267" s="1" t="str">
        <f>IFERROR(__xludf.DUMMYFUNCTION("""COMPUTED_VALUE"""),"control")</f>
        <v>control</v>
      </c>
      <c r="D2267" s="1" t="str">
        <f>IFERROR(__xludf.DUMMYFUNCTION("""COMPUTED_VALUE"""),"old_page")</f>
        <v>old_page</v>
      </c>
      <c r="E2267" s="1">
        <f>IFERROR(__xludf.DUMMYFUNCTION("""COMPUTED_VALUE"""),0.0)</f>
        <v>0</v>
      </c>
    </row>
    <row r="2268">
      <c r="A2268" s="1">
        <f>IFERROR(__xludf.DUMMYFUNCTION("""COMPUTED_VALUE"""),641453.0)</f>
        <v>641453</v>
      </c>
      <c r="B2268" s="2">
        <f>IFERROR(__xludf.DUMMYFUNCTION("""COMPUTED_VALUE"""),42753.92145547414)</f>
        <v>42753.92146</v>
      </c>
      <c r="C2268" s="1" t="str">
        <f>IFERROR(__xludf.DUMMYFUNCTION("""COMPUTED_VALUE"""),"treatment")</f>
        <v>treatment</v>
      </c>
      <c r="D2268" s="1" t="str">
        <f>IFERROR(__xludf.DUMMYFUNCTION("""COMPUTED_VALUE"""),"new_page")</f>
        <v>new_page</v>
      </c>
      <c r="E2268" s="1">
        <f>IFERROR(__xludf.DUMMYFUNCTION("""COMPUTED_VALUE"""),0.0)</f>
        <v>0</v>
      </c>
    </row>
    <row r="2269">
      <c r="A2269" s="1">
        <f>IFERROR(__xludf.DUMMYFUNCTION("""COMPUTED_VALUE"""),663728.0)</f>
        <v>663728</v>
      </c>
      <c r="B2269" s="2">
        <f>IFERROR(__xludf.DUMMYFUNCTION("""COMPUTED_VALUE"""),42744.9593047755)</f>
        <v>42744.9593</v>
      </c>
      <c r="C2269" s="1" t="str">
        <f>IFERROR(__xludf.DUMMYFUNCTION("""COMPUTED_VALUE"""),"control")</f>
        <v>control</v>
      </c>
      <c r="D2269" s="1" t="str">
        <f>IFERROR(__xludf.DUMMYFUNCTION("""COMPUTED_VALUE"""),"old_page")</f>
        <v>old_page</v>
      </c>
      <c r="E2269" s="1">
        <f>IFERROR(__xludf.DUMMYFUNCTION("""COMPUTED_VALUE"""),0.0)</f>
        <v>0</v>
      </c>
    </row>
    <row r="2270">
      <c r="A2270" s="1">
        <f>IFERROR(__xludf.DUMMYFUNCTION("""COMPUTED_VALUE"""),785040.0)</f>
        <v>785040</v>
      </c>
      <c r="B2270" s="2">
        <f>IFERROR(__xludf.DUMMYFUNCTION("""COMPUTED_VALUE"""),42740.32373068014)</f>
        <v>42740.32373</v>
      </c>
      <c r="C2270" s="1" t="str">
        <f>IFERROR(__xludf.DUMMYFUNCTION("""COMPUTED_VALUE"""),"control")</f>
        <v>control</v>
      </c>
      <c r="D2270" s="1" t="str">
        <f>IFERROR(__xludf.DUMMYFUNCTION("""COMPUTED_VALUE"""),"old_page")</f>
        <v>old_page</v>
      </c>
      <c r="E2270" s="1">
        <f>IFERROR(__xludf.DUMMYFUNCTION("""COMPUTED_VALUE"""),1.0)</f>
        <v>1</v>
      </c>
    </row>
    <row r="2271">
      <c r="A2271" s="1">
        <f>IFERROR(__xludf.DUMMYFUNCTION("""COMPUTED_VALUE"""),759963.0)</f>
        <v>759963</v>
      </c>
      <c r="B2271" s="2">
        <f>IFERROR(__xludf.DUMMYFUNCTION("""COMPUTED_VALUE"""),42747.86030846269)</f>
        <v>42747.86031</v>
      </c>
      <c r="C2271" s="1" t="str">
        <f>IFERROR(__xludf.DUMMYFUNCTION("""COMPUTED_VALUE"""),"treatment")</f>
        <v>treatment</v>
      </c>
      <c r="D2271" s="1" t="str">
        <f>IFERROR(__xludf.DUMMYFUNCTION("""COMPUTED_VALUE"""),"new_page")</f>
        <v>new_page</v>
      </c>
      <c r="E2271" s="1">
        <f>IFERROR(__xludf.DUMMYFUNCTION("""COMPUTED_VALUE"""),0.0)</f>
        <v>0</v>
      </c>
    </row>
    <row r="2272">
      <c r="A2272" s="1">
        <f>IFERROR(__xludf.DUMMYFUNCTION("""COMPUTED_VALUE"""),818343.0)</f>
        <v>818343</v>
      </c>
      <c r="B2272" s="2">
        <f>IFERROR(__xludf.DUMMYFUNCTION("""COMPUTED_VALUE"""),42738.92669691788)</f>
        <v>42738.9267</v>
      </c>
      <c r="C2272" s="1" t="str">
        <f>IFERROR(__xludf.DUMMYFUNCTION("""COMPUTED_VALUE"""),"control")</f>
        <v>control</v>
      </c>
      <c r="D2272" s="1" t="str">
        <f>IFERROR(__xludf.DUMMYFUNCTION("""COMPUTED_VALUE"""),"old_page")</f>
        <v>old_page</v>
      </c>
      <c r="E2272" s="1">
        <f>IFERROR(__xludf.DUMMYFUNCTION("""COMPUTED_VALUE"""),0.0)</f>
        <v>0</v>
      </c>
    </row>
    <row r="2273">
      <c r="A2273" s="1">
        <f>IFERROR(__xludf.DUMMYFUNCTION("""COMPUTED_VALUE"""),880285.0)</f>
        <v>880285</v>
      </c>
      <c r="B2273" s="2">
        <f>IFERROR(__xludf.DUMMYFUNCTION("""COMPUTED_VALUE"""),42740.70571586852)</f>
        <v>42740.70572</v>
      </c>
      <c r="C2273" s="1" t="str">
        <f>IFERROR(__xludf.DUMMYFUNCTION("""COMPUTED_VALUE"""),"control")</f>
        <v>control</v>
      </c>
      <c r="D2273" s="1" t="str">
        <f>IFERROR(__xludf.DUMMYFUNCTION("""COMPUTED_VALUE"""),"old_page")</f>
        <v>old_page</v>
      </c>
      <c r="E2273" s="1">
        <f>IFERROR(__xludf.DUMMYFUNCTION("""COMPUTED_VALUE"""),0.0)</f>
        <v>0</v>
      </c>
    </row>
    <row r="2274">
      <c r="A2274" s="1">
        <f>IFERROR(__xludf.DUMMYFUNCTION("""COMPUTED_VALUE"""),858538.0)</f>
        <v>858538</v>
      </c>
      <c r="B2274" s="2">
        <f>IFERROR(__xludf.DUMMYFUNCTION("""COMPUTED_VALUE"""),42745.088528573404)</f>
        <v>42745.08853</v>
      </c>
      <c r="C2274" s="1" t="str">
        <f>IFERROR(__xludf.DUMMYFUNCTION("""COMPUTED_VALUE"""),"treatment")</f>
        <v>treatment</v>
      </c>
      <c r="D2274" s="1" t="str">
        <f>IFERROR(__xludf.DUMMYFUNCTION("""COMPUTED_VALUE"""),"new_page")</f>
        <v>new_page</v>
      </c>
      <c r="E2274" s="1">
        <f>IFERROR(__xludf.DUMMYFUNCTION("""COMPUTED_VALUE"""),0.0)</f>
        <v>0</v>
      </c>
    </row>
    <row r="2275">
      <c r="A2275" s="1">
        <f>IFERROR(__xludf.DUMMYFUNCTION("""COMPUTED_VALUE"""),846263.0)</f>
        <v>846263</v>
      </c>
      <c r="B2275" s="2">
        <f>IFERROR(__xludf.DUMMYFUNCTION("""COMPUTED_VALUE"""),42751.82137320937)</f>
        <v>42751.82137</v>
      </c>
      <c r="C2275" s="1" t="str">
        <f>IFERROR(__xludf.DUMMYFUNCTION("""COMPUTED_VALUE"""),"treatment")</f>
        <v>treatment</v>
      </c>
      <c r="D2275" s="1" t="str">
        <f>IFERROR(__xludf.DUMMYFUNCTION("""COMPUTED_VALUE"""),"new_page")</f>
        <v>new_page</v>
      </c>
      <c r="E2275" s="1">
        <f>IFERROR(__xludf.DUMMYFUNCTION("""COMPUTED_VALUE"""),0.0)</f>
        <v>0</v>
      </c>
    </row>
    <row r="2276">
      <c r="A2276" s="1">
        <f>IFERROR(__xludf.DUMMYFUNCTION("""COMPUTED_VALUE"""),696911.0)</f>
        <v>696911</v>
      </c>
      <c r="B2276" s="2">
        <f>IFERROR(__xludf.DUMMYFUNCTION("""COMPUTED_VALUE"""),42748.827628842024)</f>
        <v>42748.82763</v>
      </c>
      <c r="C2276" s="1" t="str">
        <f>IFERROR(__xludf.DUMMYFUNCTION("""COMPUTED_VALUE"""),"treatment")</f>
        <v>treatment</v>
      </c>
      <c r="D2276" s="1" t="str">
        <f>IFERROR(__xludf.DUMMYFUNCTION("""COMPUTED_VALUE"""),"new_page")</f>
        <v>new_page</v>
      </c>
      <c r="E2276" s="1">
        <f>IFERROR(__xludf.DUMMYFUNCTION("""COMPUTED_VALUE"""),0.0)</f>
        <v>0</v>
      </c>
    </row>
    <row r="2277">
      <c r="A2277" s="1">
        <f>IFERROR(__xludf.DUMMYFUNCTION("""COMPUTED_VALUE"""),877844.0)</f>
        <v>877844</v>
      </c>
      <c r="B2277" s="2">
        <f>IFERROR(__xludf.DUMMYFUNCTION("""COMPUTED_VALUE"""),42757.46493692831)</f>
        <v>42757.46494</v>
      </c>
      <c r="C2277" s="1" t="str">
        <f>IFERROR(__xludf.DUMMYFUNCTION("""COMPUTED_VALUE"""),"control")</f>
        <v>control</v>
      </c>
      <c r="D2277" s="1" t="str">
        <f>IFERROR(__xludf.DUMMYFUNCTION("""COMPUTED_VALUE"""),"old_page")</f>
        <v>old_page</v>
      </c>
      <c r="E2277" s="1">
        <f>IFERROR(__xludf.DUMMYFUNCTION("""COMPUTED_VALUE"""),0.0)</f>
        <v>0</v>
      </c>
    </row>
    <row r="2278">
      <c r="A2278" s="1">
        <f>IFERROR(__xludf.DUMMYFUNCTION("""COMPUTED_VALUE"""),706829.0)</f>
        <v>706829</v>
      </c>
      <c r="B2278" s="2">
        <f>IFERROR(__xludf.DUMMYFUNCTION("""COMPUTED_VALUE"""),42749.34466984541)</f>
        <v>42749.34467</v>
      </c>
      <c r="C2278" s="1" t="str">
        <f>IFERROR(__xludf.DUMMYFUNCTION("""COMPUTED_VALUE"""),"treatment")</f>
        <v>treatment</v>
      </c>
      <c r="D2278" s="1" t="str">
        <f>IFERROR(__xludf.DUMMYFUNCTION("""COMPUTED_VALUE"""),"new_page")</f>
        <v>new_page</v>
      </c>
      <c r="E2278" s="1">
        <f>IFERROR(__xludf.DUMMYFUNCTION("""COMPUTED_VALUE"""),0.0)</f>
        <v>0</v>
      </c>
    </row>
    <row r="2279">
      <c r="A2279" s="1">
        <f>IFERROR(__xludf.DUMMYFUNCTION("""COMPUTED_VALUE"""),767664.0)</f>
        <v>767664</v>
      </c>
      <c r="B2279" s="2">
        <f>IFERROR(__xludf.DUMMYFUNCTION("""COMPUTED_VALUE"""),42745.719591599736)</f>
        <v>42745.71959</v>
      </c>
      <c r="C2279" s="1" t="str">
        <f>IFERROR(__xludf.DUMMYFUNCTION("""COMPUTED_VALUE"""),"treatment")</f>
        <v>treatment</v>
      </c>
      <c r="D2279" s="1" t="str">
        <f>IFERROR(__xludf.DUMMYFUNCTION("""COMPUTED_VALUE"""),"new_page")</f>
        <v>new_page</v>
      </c>
      <c r="E2279" s="1">
        <f>IFERROR(__xludf.DUMMYFUNCTION("""COMPUTED_VALUE"""),0.0)</f>
        <v>0</v>
      </c>
    </row>
    <row r="2280">
      <c r="A2280" s="1">
        <f>IFERROR(__xludf.DUMMYFUNCTION("""COMPUTED_VALUE"""),659749.0)</f>
        <v>659749</v>
      </c>
      <c r="B2280" s="2">
        <f>IFERROR(__xludf.DUMMYFUNCTION("""COMPUTED_VALUE"""),42748.95678637858)</f>
        <v>42748.95679</v>
      </c>
      <c r="C2280" s="1" t="str">
        <f>IFERROR(__xludf.DUMMYFUNCTION("""COMPUTED_VALUE"""),"treatment")</f>
        <v>treatment</v>
      </c>
      <c r="D2280" s="1" t="str">
        <f>IFERROR(__xludf.DUMMYFUNCTION("""COMPUTED_VALUE"""),"new_page")</f>
        <v>new_page</v>
      </c>
      <c r="E2280" s="1">
        <f>IFERROR(__xludf.DUMMYFUNCTION("""COMPUTED_VALUE"""),0.0)</f>
        <v>0</v>
      </c>
    </row>
    <row r="2281">
      <c r="A2281" s="1">
        <f>IFERROR(__xludf.DUMMYFUNCTION("""COMPUTED_VALUE"""),646682.0)</f>
        <v>646682</v>
      </c>
      <c r="B2281" s="2">
        <f>IFERROR(__xludf.DUMMYFUNCTION("""COMPUTED_VALUE"""),42747.598959790994)</f>
        <v>42747.59896</v>
      </c>
      <c r="C2281" s="1" t="str">
        <f>IFERROR(__xludf.DUMMYFUNCTION("""COMPUTED_VALUE"""),"treatment")</f>
        <v>treatment</v>
      </c>
      <c r="D2281" s="1" t="str">
        <f>IFERROR(__xludf.DUMMYFUNCTION("""COMPUTED_VALUE"""),"new_page")</f>
        <v>new_page</v>
      </c>
      <c r="E2281" s="1">
        <f>IFERROR(__xludf.DUMMYFUNCTION("""COMPUTED_VALUE"""),1.0)</f>
        <v>1</v>
      </c>
    </row>
    <row r="2282">
      <c r="A2282" s="1">
        <f>IFERROR(__xludf.DUMMYFUNCTION("""COMPUTED_VALUE"""),910141.0)</f>
        <v>910141</v>
      </c>
      <c r="B2282" s="2">
        <f>IFERROR(__xludf.DUMMYFUNCTION("""COMPUTED_VALUE"""),42746.606355452386)</f>
        <v>42746.60636</v>
      </c>
      <c r="C2282" s="1" t="str">
        <f>IFERROR(__xludf.DUMMYFUNCTION("""COMPUTED_VALUE"""),"treatment")</f>
        <v>treatment</v>
      </c>
      <c r="D2282" s="1" t="str">
        <f>IFERROR(__xludf.DUMMYFUNCTION("""COMPUTED_VALUE"""),"new_page")</f>
        <v>new_page</v>
      </c>
      <c r="E2282" s="1">
        <f>IFERROR(__xludf.DUMMYFUNCTION("""COMPUTED_VALUE"""),0.0)</f>
        <v>0</v>
      </c>
    </row>
    <row r="2283">
      <c r="A2283" s="1">
        <f>IFERROR(__xludf.DUMMYFUNCTION("""COMPUTED_VALUE"""),816264.0)</f>
        <v>816264</v>
      </c>
      <c r="B2283" s="2">
        <f>IFERROR(__xludf.DUMMYFUNCTION("""COMPUTED_VALUE"""),42757.79056768764)</f>
        <v>42757.79057</v>
      </c>
      <c r="C2283" s="1" t="str">
        <f>IFERROR(__xludf.DUMMYFUNCTION("""COMPUTED_VALUE"""),"control")</f>
        <v>control</v>
      </c>
      <c r="D2283" s="1" t="str">
        <f>IFERROR(__xludf.DUMMYFUNCTION("""COMPUTED_VALUE"""),"old_page")</f>
        <v>old_page</v>
      </c>
      <c r="E2283" s="1">
        <f>IFERROR(__xludf.DUMMYFUNCTION("""COMPUTED_VALUE"""),0.0)</f>
        <v>0</v>
      </c>
    </row>
    <row r="2284">
      <c r="A2284" s="1">
        <f>IFERROR(__xludf.DUMMYFUNCTION("""COMPUTED_VALUE"""),846937.0)</f>
        <v>846937</v>
      </c>
      <c r="B2284" s="2">
        <f>IFERROR(__xludf.DUMMYFUNCTION("""COMPUTED_VALUE"""),42758.73748877305)</f>
        <v>42758.73749</v>
      </c>
      <c r="C2284" s="1" t="str">
        <f>IFERROR(__xludf.DUMMYFUNCTION("""COMPUTED_VALUE"""),"control")</f>
        <v>control</v>
      </c>
      <c r="D2284" s="1" t="str">
        <f>IFERROR(__xludf.DUMMYFUNCTION("""COMPUTED_VALUE"""),"old_page")</f>
        <v>old_page</v>
      </c>
      <c r="E2284" s="1">
        <f>IFERROR(__xludf.DUMMYFUNCTION("""COMPUTED_VALUE"""),0.0)</f>
        <v>0</v>
      </c>
    </row>
    <row r="2285">
      <c r="A2285" s="1">
        <f>IFERROR(__xludf.DUMMYFUNCTION("""COMPUTED_VALUE"""),732144.0)</f>
        <v>732144</v>
      </c>
      <c r="B2285" s="2">
        <f>IFERROR(__xludf.DUMMYFUNCTION("""COMPUTED_VALUE"""),42759.27710651334)</f>
        <v>42759.27711</v>
      </c>
      <c r="C2285" s="1" t="str">
        <f>IFERROR(__xludf.DUMMYFUNCTION("""COMPUTED_VALUE"""),"control")</f>
        <v>control</v>
      </c>
      <c r="D2285" s="1" t="str">
        <f>IFERROR(__xludf.DUMMYFUNCTION("""COMPUTED_VALUE"""),"old_page")</f>
        <v>old_page</v>
      </c>
      <c r="E2285" s="1">
        <f>IFERROR(__xludf.DUMMYFUNCTION("""COMPUTED_VALUE"""),0.0)</f>
        <v>0</v>
      </c>
    </row>
    <row r="2286">
      <c r="A2286" s="1">
        <f>IFERROR(__xludf.DUMMYFUNCTION("""COMPUTED_VALUE"""),675100.0)</f>
        <v>675100</v>
      </c>
      <c r="B2286" s="2">
        <f>IFERROR(__xludf.DUMMYFUNCTION("""COMPUTED_VALUE"""),42737.99778797578)</f>
        <v>42737.99779</v>
      </c>
      <c r="C2286" s="1" t="str">
        <f>IFERROR(__xludf.DUMMYFUNCTION("""COMPUTED_VALUE"""),"treatment")</f>
        <v>treatment</v>
      </c>
      <c r="D2286" s="1" t="str">
        <f>IFERROR(__xludf.DUMMYFUNCTION("""COMPUTED_VALUE"""),"new_page")</f>
        <v>new_page</v>
      </c>
      <c r="E2286" s="1">
        <f>IFERROR(__xludf.DUMMYFUNCTION("""COMPUTED_VALUE"""),0.0)</f>
        <v>0</v>
      </c>
    </row>
    <row r="2287">
      <c r="A2287" s="1">
        <f>IFERROR(__xludf.DUMMYFUNCTION("""COMPUTED_VALUE"""),879105.0)</f>
        <v>879105</v>
      </c>
      <c r="B2287" s="2">
        <f>IFERROR(__xludf.DUMMYFUNCTION("""COMPUTED_VALUE"""),42745.178111129586)</f>
        <v>42745.17811</v>
      </c>
      <c r="C2287" s="1" t="str">
        <f>IFERROR(__xludf.DUMMYFUNCTION("""COMPUTED_VALUE"""),"control")</f>
        <v>control</v>
      </c>
      <c r="D2287" s="1" t="str">
        <f>IFERROR(__xludf.DUMMYFUNCTION("""COMPUTED_VALUE"""),"old_page")</f>
        <v>old_page</v>
      </c>
      <c r="E2287" s="1">
        <f>IFERROR(__xludf.DUMMYFUNCTION("""COMPUTED_VALUE"""),0.0)</f>
        <v>0</v>
      </c>
    </row>
    <row r="2288">
      <c r="A2288" s="1">
        <f>IFERROR(__xludf.DUMMYFUNCTION("""COMPUTED_VALUE"""),871484.0)</f>
        <v>871484</v>
      </c>
      <c r="B2288" s="2">
        <f>IFERROR(__xludf.DUMMYFUNCTION("""COMPUTED_VALUE"""),42757.638134956134)</f>
        <v>42757.63813</v>
      </c>
      <c r="C2288" s="1" t="str">
        <f>IFERROR(__xludf.DUMMYFUNCTION("""COMPUTED_VALUE"""),"control")</f>
        <v>control</v>
      </c>
      <c r="D2288" s="1" t="str">
        <f>IFERROR(__xludf.DUMMYFUNCTION("""COMPUTED_VALUE"""),"old_page")</f>
        <v>old_page</v>
      </c>
      <c r="E2288" s="1">
        <f>IFERROR(__xludf.DUMMYFUNCTION("""COMPUTED_VALUE"""),1.0)</f>
        <v>1</v>
      </c>
    </row>
    <row r="2289">
      <c r="A2289" s="1">
        <f>IFERROR(__xludf.DUMMYFUNCTION("""COMPUTED_VALUE"""),812694.0)</f>
        <v>812694</v>
      </c>
      <c r="B2289" s="2">
        <f>IFERROR(__xludf.DUMMYFUNCTION("""COMPUTED_VALUE"""),42741.7485913807)</f>
        <v>42741.74859</v>
      </c>
      <c r="C2289" s="1" t="str">
        <f>IFERROR(__xludf.DUMMYFUNCTION("""COMPUTED_VALUE"""),"control")</f>
        <v>control</v>
      </c>
      <c r="D2289" s="1" t="str">
        <f>IFERROR(__xludf.DUMMYFUNCTION("""COMPUTED_VALUE"""),"old_page")</f>
        <v>old_page</v>
      </c>
      <c r="E2289" s="1">
        <f>IFERROR(__xludf.DUMMYFUNCTION("""COMPUTED_VALUE"""),0.0)</f>
        <v>0</v>
      </c>
    </row>
    <row r="2290">
      <c r="A2290" s="1">
        <f>IFERROR(__xludf.DUMMYFUNCTION("""COMPUTED_VALUE"""),813261.0)</f>
        <v>813261</v>
      </c>
      <c r="B2290" s="2">
        <f>IFERROR(__xludf.DUMMYFUNCTION("""COMPUTED_VALUE"""),42752.53632240767)</f>
        <v>42752.53632</v>
      </c>
      <c r="C2290" s="1" t="str">
        <f>IFERROR(__xludf.DUMMYFUNCTION("""COMPUTED_VALUE"""),"control")</f>
        <v>control</v>
      </c>
      <c r="D2290" s="1" t="str">
        <f>IFERROR(__xludf.DUMMYFUNCTION("""COMPUTED_VALUE"""),"old_page")</f>
        <v>old_page</v>
      </c>
      <c r="E2290" s="1">
        <f>IFERROR(__xludf.DUMMYFUNCTION("""COMPUTED_VALUE"""),0.0)</f>
        <v>0</v>
      </c>
    </row>
    <row r="2291">
      <c r="A2291" s="1">
        <f>IFERROR(__xludf.DUMMYFUNCTION("""COMPUTED_VALUE"""),857469.0)</f>
        <v>857469</v>
      </c>
      <c r="B2291" s="2">
        <f>IFERROR(__xludf.DUMMYFUNCTION("""COMPUTED_VALUE"""),42753.68278583557)</f>
        <v>42753.68279</v>
      </c>
      <c r="C2291" s="1" t="str">
        <f>IFERROR(__xludf.DUMMYFUNCTION("""COMPUTED_VALUE"""),"control")</f>
        <v>control</v>
      </c>
      <c r="D2291" s="1" t="str">
        <f>IFERROR(__xludf.DUMMYFUNCTION("""COMPUTED_VALUE"""),"old_page")</f>
        <v>old_page</v>
      </c>
      <c r="E2291" s="1">
        <f>IFERROR(__xludf.DUMMYFUNCTION("""COMPUTED_VALUE"""),1.0)</f>
        <v>1</v>
      </c>
    </row>
    <row r="2292">
      <c r="A2292" s="1">
        <f>IFERROR(__xludf.DUMMYFUNCTION("""COMPUTED_VALUE"""),936300.0)</f>
        <v>936300</v>
      </c>
      <c r="B2292" s="2">
        <f>IFERROR(__xludf.DUMMYFUNCTION("""COMPUTED_VALUE"""),42739.98033056566)</f>
        <v>42739.98033</v>
      </c>
      <c r="C2292" s="1" t="str">
        <f>IFERROR(__xludf.DUMMYFUNCTION("""COMPUTED_VALUE"""),"control")</f>
        <v>control</v>
      </c>
      <c r="D2292" s="1" t="str">
        <f>IFERROR(__xludf.DUMMYFUNCTION("""COMPUTED_VALUE"""),"old_page")</f>
        <v>old_page</v>
      </c>
      <c r="E2292" s="1">
        <f>IFERROR(__xludf.DUMMYFUNCTION("""COMPUTED_VALUE"""),0.0)</f>
        <v>0</v>
      </c>
    </row>
    <row r="2293">
      <c r="A2293" s="1">
        <f>IFERROR(__xludf.DUMMYFUNCTION("""COMPUTED_VALUE"""),880494.0)</f>
        <v>880494</v>
      </c>
      <c r="B2293" s="2">
        <f>IFERROR(__xludf.DUMMYFUNCTION("""COMPUTED_VALUE"""),42749.25503548898)</f>
        <v>42749.25504</v>
      </c>
      <c r="C2293" s="1" t="str">
        <f>IFERROR(__xludf.DUMMYFUNCTION("""COMPUTED_VALUE"""),"treatment")</f>
        <v>treatment</v>
      </c>
      <c r="D2293" s="1" t="str">
        <f>IFERROR(__xludf.DUMMYFUNCTION("""COMPUTED_VALUE"""),"new_page")</f>
        <v>new_page</v>
      </c>
      <c r="E2293" s="1">
        <f>IFERROR(__xludf.DUMMYFUNCTION("""COMPUTED_VALUE"""),0.0)</f>
        <v>0</v>
      </c>
    </row>
    <row r="2294">
      <c r="A2294" s="1">
        <f>IFERROR(__xludf.DUMMYFUNCTION("""COMPUTED_VALUE"""),755887.0)</f>
        <v>755887</v>
      </c>
      <c r="B2294" s="2">
        <f>IFERROR(__xludf.DUMMYFUNCTION("""COMPUTED_VALUE"""),42747.52144427816)</f>
        <v>42747.52144</v>
      </c>
      <c r="C2294" s="1" t="str">
        <f>IFERROR(__xludf.DUMMYFUNCTION("""COMPUTED_VALUE"""),"treatment")</f>
        <v>treatment</v>
      </c>
      <c r="D2294" s="1" t="str">
        <f>IFERROR(__xludf.DUMMYFUNCTION("""COMPUTED_VALUE"""),"new_page")</f>
        <v>new_page</v>
      </c>
      <c r="E2294" s="1">
        <f>IFERROR(__xludf.DUMMYFUNCTION("""COMPUTED_VALUE"""),0.0)</f>
        <v>0</v>
      </c>
    </row>
    <row r="2295">
      <c r="A2295" s="1">
        <f>IFERROR(__xludf.DUMMYFUNCTION("""COMPUTED_VALUE"""),906152.0)</f>
        <v>906152</v>
      </c>
      <c r="B2295" s="2">
        <f>IFERROR(__xludf.DUMMYFUNCTION("""COMPUTED_VALUE"""),42752.698698343724)</f>
        <v>42752.6987</v>
      </c>
      <c r="C2295" s="1" t="str">
        <f>IFERROR(__xludf.DUMMYFUNCTION("""COMPUTED_VALUE"""),"control")</f>
        <v>control</v>
      </c>
      <c r="D2295" s="1" t="str">
        <f>IFERROR(__xludf.DUMMYFUNCTION("""COMPUTED_VALUE"""),"old_page")</f>
        <v>old_page</v>
      </c>
      <c r="E2295" s="1">
        <f>IFERROR(__xludf.DUMMYFUNCTION("""COMPUTED_VALUE"""),0.0)</f>
        <v>0</v>
      </c>
    </row>
    <row r="2296">
      <c r="A2296" s="1">
        <f>IFERROR(__xludf.DUMMYFUNCTION("""COMPUTED_VALUE"""),737619.0)</f>
        <v>737619</v>
      </c>
      <c r="B2296" s="2">
        <f>IFERROR(__xludf.DUMMYFUNCTION("""COMPUTED_VALUE"""),42754.89431961858)</f>
        <v>42754.89432</v>
      </c>
      <c r="C2296" s="1" t="str">
        <f>IFERROR(__xludf.DUMMYFUNCTION("""COMPUTED_VALUE"""),"control")</f>
        <v>control</v>
      </c>
      <c r="D2296" s="1" t="str">
        <f>IFERROR(__xludf.DUMMYFUNCTION("""COMPUTED_VALUE"""),"old_page")</f>
        <v>old_page</v>
      </c>
      <c r="E2296" s="1">
        <f>IFERROR(__xludf.DUMMYFUNCTION("""COMPUTED_VALUE"""),0.0)</f>
        <v>0</v>
      </c>
    </row>
    <row r="2297">
      <c r="A2297" s="1">
        <f>IFERROR(__xludf.DUMMYFUNCTION("""COMPUTED_VALUE"""),685359.0)</f>
        <v>685359</v>
      </c>
      <c r="B2297" s="2">
        <f>IFERROR(__xludf.DUMMYFUNCTION("""COMPUTED_VALUE"""),42745.93358315309)</f>
        <v>42745.93358</v>
      </c>
      <c r="C2297" s="1" t="str">
        <f>IFERROR(__xludf.DUMMYFUNCTION("""COMPUTED_VALUE"""),"treatment")</f>
        <v>treatment</v>
      </c>
      <c r="D2297" s="1" t="str">
        <f>IFERROR(__xludf.DUMMYFUNCTION("""COMPUTED_VALUE"""),"new_page")</f>
        <v>new_page</v>
      </c>
      <c r="E2297" s="1">
        <f>IFERROR(__xludf.DUMMYFUNCTION("""COMPUTED_VALUE"""),0.0)</f>
        <v>0</v>
      </c>
    </row>
    <row r="2298">
      <c r="A2298" s="1">
        <f>IFERROR(__xludf.DUMMYFUNCTION("""COMPUTED_VALUE"""),746018.0)</f>
        <v>746018</v>
      </c>
      <c r="B2298" s="2">
        <f>IFERROR(__xludf.DUMMYFUNCTION("""COMPUTED_VALUE"""),42748.79112373609)</f>
        <v>42748.79112</v>
      </c>
      <c r="C2298" s="1" t="str">
        <f>IFERROR(__xludf.DUMMYFUNCTION("""COMPUTED_VALUE"""),"control")</f>
        <v>control</v>
      </c>
      <c r="D2298" s="1" t="str">
        <f>IFERROR(__xludf.DUMMYFUNCTION("""COMPUTED_VALUE"""),"old_page")</f>
        <v>old_page</v>
      </c>
      <c r="E2298" s="1">
        <f>IFERROR(__xludf.DUMMYFUNCTION("""COMPUTED_VALUE"""),0.0)</f>
        <v>0</v>
      </c>
    </row>
    <row r="2299">
      <c r="A2299" s="1">
        <f>IFERROR(__xludf.DUMMYFUNCTION("""COMPUTED_VALUE"""),825885.0)</f>
        <v>825885</v>
      </c>
      <c r="B2299" s="2">
        <f>IFERROR(__xludf.DUMMYFUNCTION("""COMPUTED_VALUE"""),42755.07539569545)</f>
        <v>42755.0754</v>
      </c>
      <c r="C2299" s="1" t="str">
        <f>IFERROR(__xludf.DUMMYFUNCTION("""COMPUTED_VALUE"""),"treatment")</f>
        <v>treatment</v>
      </c>
      <c r="D2299" s="1" t="str">
        <f>IFERROR(__xludf.DUMMYFUNCTION("""COMPUTED_VALUE"""),"new_page")</f>
        <v>new_page</v>
      </c>
      <c r="E2299" s="1">
        <f>IFERROR(__xludf.DUMMYFUNCTION("""COMPUTED_VALUE"""),0.0)</f>
        <v>0</v>
      </c>
    </row>
    <row r="2300">
      <c r="A2300" s="1">
        <f>IFERROR(__xludf.DUMMYFUNCTION("""COMPUTED_VALUE"""),709247.0)</f>
        <v>709247</v>
      </c>
      <c r="B2300" s="2">
        <f>IFERROR(__xludf.DUMMYFUNCTION("""COMPUTED_VALUE"""),42747.981651135524)</f>
        <v>42747.98165</v>
      </c>
      <c r="C2300" s="1" t="str">
        <f>IFERROR(__xludf.DUMMYFUNCTION("""COMPUTED_VALUE"""),"treatment")</f>
        <v>treatment</v>
      </c>
      <c r="D2300" s="1" t="str">
        <f>IFERROR(__xludf.DUMMYFUNCTION("""COMPUTED_VALUE"""),"new_page")</f>
        <v>new_page</v>
      </c>
      <c r="E2300" s="1">
        <f>IFERROR(__xludf.DUMMYFUNCTION("""COMPUTED_VALUE"""),0.0)</f>
        <v>0</v>
      </c>
    </row>
    <row r="2301">
      <c r="A2301" s="1">
        <f>IFERROR(__xludf.DUMMYFUNCTION("""COMPUTED_VALUE"""),649730.0)</f>
        <v>649730</v>
      </c>
      <c r="B2301" s="2">
        <f>IFERROR(__xludf.DUMMYFUNCTION("""COMPUTED_VALUE"""),42755.21346378991)</f>
        <v>42755.21346</v>
      </c>
      <c r="C2301" s="1" t="str">
        <f>IFERROR(__xludf.DUMMYFUNCTION("""COMPUTED_VALUE"""),"treatment")</f>
        <v>treatment</v>
      </c>
      <c r="D2301" s="1" t="str">
        <f>IFERROR(__xludf.DUMMYFUNCTION("""COMPUTED_VALUE"""),"new_page")</f>
        <v>new_page</v>
      </c>
      <c r="E2301" s="1">
        <f>IFERROR(__xludf.DUMMYFUNCTION("""COMPUTED_VALUE"""),0.0)</f>
        <v>0</v>
      </c>
    </row>
    <row r="2302">
      <c r="A2302" s="1">
        <f>IFERROR(__xludf.DUMMYFUNCTION("""COMPUTED_VALUE"""),640006.0)</f>
        <v>640006</v>
      </c>
      <c r="B2302" s="2">
        <f>IFERROR(__xludf.DUMMYFUNCTION("""COMPUTED_VALUE"""),42746.60990220501)</f>
        <v>42746.6099</v>
      </c>
      <c r="C2302" s="1" t="str">
        <f>IFERROR(__xludf.DUMMYFUNCTION("""COMPUTED_VALUE"""),"control")</f>
        <v>control</v>
      </c>
      <c r="D2302" s="1" t="str">
        <f>IFERROR(__xludf.DUMMYFUNCTION("""COMPUTED_VALUE"""),"old_page")</f>
        <v>old_page</v>
      </c>
      <c r="E2302" s="1">
        <f>IFERROR(__xludf.DUMMYFUNCTION("""COMPUTED_VALUE"""),0.0)</f>
        <v>0</v>
      </c>
    </row>
    <row r="2303">
      <c r="A2303" s="1">
        <f>IFERROR(__xludf.DUMMYFUNCTION("""COMPUTED_VALUE"""),794936.0)</f>
        <v>794936</v>
      </c>
      <c r="B2303" s="2">
        <f>IFERROR(__xludf.DUMMYFUNCTION("""COMPUTED_VALUE"""),42749.722233182474)</f>
        <v>42749.72223</v>
      </c>
      <c r="C2303" s="1" t="str">
        <f>IFERROR(__xludf.DUMMYFUNCTION("""COMPUTED_VALUE"""),"control")</f>
        <v>control</v>
      </c>
      <c r="D2303" s="1" t="str">
        <f>IFERROR(__xludf.DUMMYFUNCTION("""COMPUTED_VALUE"""),"old_page")</f>
        <v>old_page</v>
      </c>
      <c r="E2303" s="1">
        <f>IFERROR(__xludf.DUMMYFUNCTION("""COMPUTED_VALUE"""),0.0)</f>
        <v>0</v>
      </c>
    </row>
    <row r="2304">
      <c r="A2304" s="1">
        <f>IFERROR(__xludf.DUMMYFUNCTION("""COMPUTED_VALUE"""),717790.0)</f>
        <v>717790</v>
      </c>
      <c r="B2304" s="2">
        <f>IFERROR(__xludf.DUMMYFUNCTION("""COMPUTED_VALUE"""),42747.63000938669)</f>
        <v>42747.63001</v>
      </c>
      <c r="C2304" s="1" t="str">
        <f>IFERROR(__xludf.DUMMYFUNCTION("""COMPUTED_VALUE"""),"treatment")</f>
        <v>treatment</v>
      </c>
      <c r="D2304" s="1" t="str">
        <f>IFERROR(__xludf.DUMMYFUNCTION("""COMPUTED_VALUE"""),"new_page")</f>
        <v>new_page</v>
      </c>
      <c r="E2304" s="1">
        <f>IFERROR(__xludf.DUMMYFUNCTION("""COMPUTED_VALUE"""),0.0)</f>
        <v>0</v>
      </c>
    </row>
    <row r="2305">
      <c r="A2305" s="1">
        <f>IFERROR(__xludf.DUMMYFUNCTION("""COMPUTED_VALUE"""),860277.0)</f>
        <v>860277</v>
      </c>
      <c r="B2305" s="2">
        <f>IFERROR(__xludf.DUMMYFUNCTION("""COMPUTED_VALUE"""),42757.844829937094)</f>
        <v>42757.84483</v>
      </c>
      <c r="C2305" s="1" t="str">
        <f>IFERROR(__xludf.DUMMYFUNCTION("""COMPUTED_VALUE"""),"treatment")</f>
        <v>treatment</v>
      </c>
      <c r="D2305" s="1" t="str">
        <f>IFERROR(__xludf.DUMMYFUNCTION("""COMPUTED_VALUE"""),"new_page")</f>
        <v>new_page</v>
      </c>
      <c r="E2305" s="1">
        <f>IFERROR(__xludf.DUMMYFUNCTION("""COMPUTED_VALUE"""),0.0)</f>
        <v>0</v>
      </c>
    </row>
    <row r="2306">
      <c r="A2306" s="1">
        <f>IFERROR(__xludf.DUMMYFUNCTION("""COMPUTED_VALUE"""),730707.0)</f>
        <v>730707</v>
      </c>
      <c r="B2306" s="2">
        <f>IFERROR(__xludf.DUMMYFUNCTION("""COMPUTED_VALUE"""),42741.0326345628)</f>
        <v>42741.03263</v>
      </c>
      <c r="C2306" s="1" t="str">
        <f>IFERROR(__xludf.DUMMYFUNCTION("""COMPUTED_VALUE"""),"treatment")</f>
        <v>treatment</v>
      </c>
      <c r="D2306" s="1" t="str">
        <f>IFERROR(__xludf.DUMMYFUNCTION("""COMPUTED_VALUE"""),"new_page")</f>
        <v>new_page</v>
      </c>
      <c r="E2306" s="1">
        <f>IFERROR(__xludf.DUMMYFUNCTION("""COMPUTED_VALUE"""),0.0)</f>
        <v>0</v>
      </c>
    </row>
    <row r="2307">
      <c r="A2307" s="1">
        <f>IFERROR(__xludf.DUMMYFUNCTION("""COMPUTED_VALUE"""),775178.0)</f>
        <v>775178</v>
      </c>
      <c r="B2307" s="2">
        <f>IFERROR(__xludf.DUMMYFUNCTION("""COMPUTED_VALUE"""),42740.679443791676)</f>
        <v>42740.67944</v>
      </c>
      <c r="C2307" s="1" t="str">
        <f>IFERROR(__xludf.DUMMYFUNCTION("""COMPUTED_VALUE"""),"control")</f>
        <v>control</v>
      </c>
      <c r="D2307" s="1" t="str">
        <f>IFERROR(__xludf.DUMMYFUNCTION("""COMPUTED_VALUE"""),"old_page")</f>
        <v>old_page</v>
      </c>
      <c r="E2307" s="1">
        <f>IFERROR(__xludf.DUMMYFUNCTION("""COMPUTED_VALUE"""),0.0)</f>
        <v>0</v>
      </c>
    </row>
    <row r="2308">
      <c r="A2308" s="1">
        <f>IFERROR(__xludf.DUMMYFUNCTION("""COMPUTED_VALUE"""),868849.0)</f>
        <v>868849</v>
      </c>
      <c r="B2308" s="2">
        <f>IFERROR(__xludf.DUMMYFUNCTION("""COMPUTED_VALUE"""),42748.42006632112)</f>
        <v>42748.42007</v>
      </c>
      <c r="C2308" s="1" t="str">
        <f>IFERROR(__xludf.DUMMYFUNCTION("""COMPUTED_VALUE"""),"treatment")</f>
        <v>treatment</v>
      </c>
      <c r="D2308" s="1" t="str">
        <f>IFERROR(__xludf.DUMMYFUNCTION("""COMPUTED_VALUE"""),"new_page")</f>
        <v>new_page</v>
      </c>
      <c r="E2308" s="1">
        <f>IFERROR(__xludf.DUMMYFUNCTION("""COMPUTED_VALUE"""),0.0)</f>
        <v>0</v>
      </c>
    </row>
    <row r="2309">
      <c r="A2309" s="1">
        <f>IFERROR(__xludf.DUMMYFUNCTION("""COMPUTED_VALUE"""),790172.0)</f>
        <v>790172</v>
      </c>
      <c r="B2309" s="2">
        <f>IFERROR(__xludf.DUMMYFUNCTION("""COMPUTED_VALUE"""),42749.973080790485)</f>
        <v>42749.97308</v>
      </c>
      <c r="C2309" s="1" t="str">
        <f>IFERROR(__xludf.DUMMYFUNCTION("""COMPUTED_VALUE"""),"treatment")</f>
        <v>treatment</v>
      </c>
      <c r="D2309" s="1" t="str">
        <f>IFERROR(__xludf.DUMMYFUNCTION("""COMPUTED_VALUE"""),"new_page")</f>
        <v>new_page</v>
      </c>
      <c r="E2309" s="1">
        <f>IFERROR(__xludf.DUMMYFUNCTION("""COMPUTED_VALUE"""),0.0)</f>
        <v>0</v>
      </c>
    </row>
    <row r="2310">
      <c r="A2310" s="1">
        <f>IFERROR(__xludf.DUMMYFUNCTION("""COMPUTED_VALUE"""),936562.0)</f>
        <v>936562</v>
      </c>
      <c r="B2310" s="2">
        <f>IFERROR(__xludf.DUMMYFUNCTION("""COMPUTED_VALUE"""),42750.84095765595)</f>
        <v>42750.84096</v>
      </c>
      <c r="C2310" s="1" t="str">
        <f>IFERROR(__xludf.DUMMYFUNCTION("""COMPUTED_VALUE"""),"treatment")</f>
        <v>treatment</v>
      </c>
      <c r="D2310" s="1" t="str">
        <f>IFERROR(__xludf.DUMMYFUNCTION("""COMPUTED_VALUE"""),"new_page")</f>
        <v>new_page</v>
      </c>
      <c r="E2310" s="1">
        <f>IFERROR(__xludf.DUMMYFUNCTION("""COMPUTED_VALUE"""),0.0)</f>
        <v>0</v>
      </c>
    </row>
    <row r="2311">
      <c r="A2311" s="1">
        <f>IFERROR(__xludf.DUMMYFUNCTION("""COMPUTED_VALUE"""),682532.0)</f>
        <v>682532</v>
      </c>
      <c r="B2311" s="2">
        <f>IFERROR(__xludf.DUMMYFUNCTION("""COMPUTED_VALUE"""),42755.50300323838)</f>
        <v>42755.503</v>
      </c>
      <c r="C2311" s="1" t="str">
        <f>IFERROR(__xludf.DUMMYFUNCTION("""COMPUTED_VALUE"""),"control")</f>
        <v>control</v>
      </c>
      <c r="D2311" s="1" t="str">
        <f>IFERROR(__xludf.DUMMYFUNCTION("""COMPUTED_VALUE"""),"old_page")</f>
        <v>old_page</v>
      </c>
      <c r="E2311" s="1">
        <f>IFERROR(__xludf.DUMMYFUNCTION("""COMPUTED_VALUE"""),0.0)</f>
        <v>0</v>
      </c>
    </row>
    <row r="2312">
      <c r="A2312" s="1">
        <f>IFERROR(__xludf.DUMMYFUNCTION("""COMPUTED_VALUE"""),711424.0)</f>
        <v>711424</v>
      </c>
      <c r="B2312" s="2">
        <f>IFERROR(__xludf.DUMMYFUNCTION("""COMPUTED_VALUE"""),42742.64248702389)</f>
        <v>42742.64249</v>
      </c>
      <c r="C2312" s="1" t="str">
        <f>IFERROR(__xludf.DUMMYFUNCTION("""COMPUTED_VALUE"""),"control")</f>
        <v>control</v>
      </c>
      <c r="D2312" s="1" t="str">
        <f>IFERROR(__xludf.DUMMYFUNCTION("""COMPUTED_VALUE"""),"old_page")</f>
        <v>old_page</v>
      </c>
      <c r="E2312" s="1">
        <f>IFERROR(__xludf.DUMMYFUNCTION("""COMPUTED_VALUE"""),0.0)</f>
        <v>0</v>
      </c>
    </row>
    <row r="2313">
      <c r="A2313" s="1">
        <f>IFERROR(__xludf.DUMMYFUNCTION("""COMPUTED_VALUE"""),695972.0)</f>
        <v>695972</v>
      </c>
      <c r="B2313" s="2">
        <f>IFERROR(__xludf.DUMMYFUNCTION("""COMPUTED_VALUE"""),42744.01876736662)</f>
        <v>42744.01877</v>
      </c>
      <c r="C2313" s="1" t="str">
        <f>IFERROR(__xludf.DUMMYFUNCTION("""COMPUTED_VALUE"""),"control")</f>
        <v>control</v>
      </c>
      <c r="D2313" s="1" t="str">
        <f>IFERROR(__xludf.DUMMYFUNCTION("""COMPUTED_VALUE"""),"old_page")</f>
        <v>old_page</v>
      </c>
      <c r="E2313" s="1">
        <f>IFERROR(__xludf.DUMMYFUNCTION("""COMPUTED_VALUE"""),0.0)</f>
        <v>0</v>
      </c>
    </row>
    <row r="2314">
      <c r="A2314" s="1">
        <f>IFERROR(__xludf.DUMMYFUNCTION("""COMPUTED_VALUE"""),902310.0)</f>
        <v>902310</v>
      </c>
      <c r="B2314" s="2">
        <f>IFERROR(__xludf.DUMMYFUNCTION("""COMPUTED_VALUE"""),42752.740331437904)</f>
        <v>42752.74033</v>
      </c>
      <c r="C2314" s="1" t="str">
        <f>IFERROR(__xludf.DUMMYFUNCTION("""COMPUTED_VALUE"""),"control")</f>
        <v>control</v>
      </c>
      <c r="D2314" s="1" t="str">
        <f>IFERROR(__xludf.DUMMYFUNCTION("""COMPUTED_VALUE"""),"old_page")</f>
        <v>old_page</v>
      </c>
      <c r="E2314" s="1">
        <f>IFERROR(__xludf.DUMMYFUNCTION("""COMPUTED_VALUE"""),1.0)</f>
        <v>1</v>
      </c>
    </row>
    <row r="2315">
      <c r="A2315" s="1">
        <f>IFERROR(__xludf.DUMMYFUNCTION("""COMPUTED_VALUE"""),779652.0)</f>
        <v>779652</v>
      </c>
      <c r="B2315" s="2">
        <f>IFERROR(__xludf.DUMMYFUNCTION("""COMPUTED_VALUE"""),42739.81423823131)</f>
        <v>42739.81424</v>
      </c>
      <c r="C2315" s="1" t="str">
        <f>IFERROR(__xludf.DUMMYFUNCTION("""COMPUTED_VALUE"""),"control")</f>
        <v>control</v>
      </c>
      <c r="D2315" s="1" t="str">
        <f>IFERROR(__xludf.DUMMYFUNCTION("""COMPUTED_VALUE"""),"old_page")</f>
        <v>old_page</v>
      </c>
      <c r="E2315" s="1">
        <f>IFERROR(__xludf.DUMMYFUNCTION("""COMPUTED_VALUE"""),0.0)</f>
        <v>0</v>
      </c>
    </row>
    <row r="2316">
      <c r="A2316" s="1">
        <f>IFERROR(__xludf.DUMMYFUNCTION("""COMPUTED_VALUE"""),639229.0)</f>
        <v>639229</v>
      </c>
      <c r="B2316" s="2">
        <f>IFERROR(__xludf.DUMMYFUNCTION("""COMPUTED_VALUE"""),42755.17676950318)</f>
        <v>42755.17677</v>
      </c>
      <c r="C2316" s="1" t="str">
        <f>IFERROR(__xludf.DUMMYFUNCTION("""COMPUTED_VALUE"""),"control")</f>
        <v>control</v>
      </c>
      <c r="D2316" s="1" t="str">
        <f>IFERROR(__xludf.DUMMYFUNCTION("""COMPUTED_VALUE"""),"old_page")</f>
        <v>old_page</v>
      </c>
      <c r="E2316" s="1">
        <f>IFERROR(__xludf.DUMMYFUNCTION("""COMPUTED_VALUE"""),0.0)</f>
        <v>0</v>
      </c>
    </row>
    <row r="2317">
      <c r="A2317" s="1">
        <f>IFERROR(__xludf.DUMMYFUNCTION("""COMPUTED_VALUE"""),849704.0)</f>
        <v>849704</v>
      </c>
      <c r="B2317" s="2">
        <f>IFERROR(__xludf.DUMMYFUNCTION("""COMPUTED_VALUE"""),42747.53144716192)</f>
        <v>42747.53145</v>
      </c>
      <c r="C2317" s="1" t="str">
        <f>IFERROR(__xludf.DUMMYFUNCTION("""COMPUTED_VALUE"""),"control")</f>
        <v>control</v>
      </c>
      <c r="D2317" s="1" t="str">
        <f>IFERROR(__xludf.DUMMYFUNCTION("""COMPUTED_VALUE"""),"old_page")</f>
        <v>old_page</v>
      </c>
      <c r="E2317" s="1">
        <f>IFERROR(__xludf.DUMMYFUNCTION("""COMPUTED_VALUE"""),0.0)</f>
        <v>0</v>
      </c>
    </row>
    <row r="2318">
      <c r="A2318" s="1">
        <f>IFERROR(__xludf.DUMMYFUNCTION("""COMPUTED_VALUE"""),739253.0)</f>
        <v>739253</v>
      </c>
      <c r="B2318" s="2">
        <f>IFERROR(__xludf.DUMMYFUNCTION("""COMPUTED_VALUE"""),42744.970355929596)</f>
        <v>42744.97036</v>
      </c>
      <c r="C2318" s="1" t="str">
        <f>IFERROR(__xludf.DUMMYFUNCTION("""COMPUTED_VALUE"""),"treatment")</f>
        <v>treatment</v>
      </c>
      <c r="D2318" s="1" t="str">
        <f>IFERROR(__xludf.DUMMYFUNCTION("""COMPUTED_VALUE"""),"new_page")</f>
        <v>new_page</v>
      </c>
      <c r="E2318" s="1">
        <f>IFERROR(__xludf.DUMMYFUNCTION("""COMPUTED_VALUE"""),0.0)</f>
        <v>0</v>
      </c>
    </row>
    <row r="2319">
      <c r="A2319" s="1">
        <f>IFERROR(__xludf.DUMMYFUNCTION("""COMPUTED_VALUE"""),774676.0)</f>
        <v>774676</v>
      </c>
      <c r="B2319" s="2">
        <f>IFERROR(__xludf.DUMMYFUNCTION("""COMPUTED_VALUE"""),42741.36321103443)</f>
        <v>42741.36321</v>
      </c>
      <c r="C2319" s="1" t="str">
        <f>IFERROR(__xludf.DUMMYFUNCTION("""COMPUTED_VALUE"""),"treatment")</f>
        <v>treatment</v>
      </c>
      <c r="D2319" s="1" t="str">
        <f>IFERROR(__xludf.DUMMYFUNCTION("""COMPUTED_VALUE"""),"new_page")</f>
        <v>new_page</v>
      </c>
      <c r="E2319" s="1">
        <f>IFERROR(__xludf.DUMMYFUNCTION("""COMPUTED_VALUE"""),0.0)</f>
        <v>0</v>
      </c>
    </row>
    <row r="2320">
      <c r="A2320" s="1">
        <f>IFERROR(__xludf.DUMMYFUNCTION("""COMPUTED_VALUE"""),841994.0)</f>
        <v>841994</v>
      </c>
      <c r="B2320" s="2">
        <f>IFERROR(__xludf.DUMMYFUNCTION("""COMPUTED_VALUE"""),42750.35745564695)</f>
        <v>42750.35746</v>
      </c>
      <c r="C2320" s="1" t="str">
        <f>IFERROR(__xludf.DUMMYFUNCTION("""COMPUTED_VALUE"""),"treatment")</f>
        <v>treatment</v>
      </c>
      <c r="D2320" s="1" t="str">
        <f>IFERROR(__xludf.DUMMYFUNCTION("""COMPUTED_VALUE"""),"new_page")</f>
        <v>new_page</v>
      </c>
      <c r="E2320" s="1">
        <f>IFERROR(__xludf.DUMMYFUNCTION("""COMPUTED_VALUE"""),0.0)</f>
        <v>0</v>
      </c>
    </row>
    <row r="2321">
      <c r="A2321" s="1">
        <f>IFERROR(__xludf.DUMMYFUNCTION("""COMPUTED_VALUE"""),825122.0)</f>
        <v>825122</v>
      </c>
      <c r="B2321" s="2">
        <f>IFERROR(__xludf.DUMMYFUNCTION("""COMPUTED_VALUE"""),42745.937763820024)</f>
        <v>42745.93776</v>
      </c>
      <c r="C2321" s="1" t="str">
        <f>IFERROR(__xludf.DUMMYFUNCTION("""COMPUTED_VALUE"""),"control")</f>
        <v>control</v>
      </c>
      <c r="D2321" s="1" t="str">
        <f>IFERROR(__xludf.DUMMYFUNCTION("""COMPUTED_VALUE"""),"old_page")</f>
        <v>old_page</v>
      </c>
      <c r="E2321" s="1">
        <f>IFERROR(__xludf.DUMMYFUNCTION("""COMPUTED_VALUE"""),0.0)</f>
        <v>0</v>
      </c>
    </row>
    <row r="2322">
      <c r="A2322" s="1">
        <f>IFERROR(__xludf.DUMMYFUNCTION("""COMPUTED_VALUE"""),672999.0)</f>
        <v>672999</v>
      </c>
      <c r="B2322" s="2">
        <f>IFERROR(__xludf.DUMMYFUNCTION("""COMPUTED_VALUE"""),42751.6203934142)</f>
        <v>42751.62039</v>
      </c>
      <c r="C2322" s="1" t="str">
        <f>IFERROR(__xludf.DUMMYFUNCTION("""COMPUTED_VALUE"""),"treatment")</f>
        <v>treatment</v>
      </c>
      <c r="D2322" s="1" t="str">
        <f>IFERROR(__xludf.DUMMYFUNCTION("""COMPUTED_VALUE"""),"new_page")</f>
        <v>new_page</v>
      </c>
      <c r="E2322" s="1">
        <f>IFERROR(__xludf.DUMMYFUNCTION("""COMPUTED_VALUE"""),0.0)</f>
        <v>0</v>
      </c>
    </row>
    <row r="2323">
      <c r="A2323" s="1">
        <f>IFERROR(__xludf.DUMMYFUNCTION("""COMPUTED_VALUE"""),700144.0)</f>
        <v>700144</v>
      </c>
      <c r="B2323" s="2">
        <f>IFERROR(__xludf.DUMMYFUNCTION("""COMPUTED_VALUE"""),42750.86607797713)</f>
        <v>42750.86608</v>
      </c>
      <c r="C2323" s="1" t="str">
        <f>IFERROR(__xludf.DUMMYFUNCTION("""COMPUTED_VALUE"""),"control")</f>
        <v>control</v>
      </c>
      <c r="D2323" s="1" t="str">
        <f>IFERROR(__xludf.DUMMYFUNCTION("""COMPUTED_VALUE"""),"old_page")</f>
        <v>old_page</v>
      </c>
      <c r="E2323" s="1">
        <f>IFERROR(__xludf.DUMMYFUNCTION("""COMPUTED_VALUE"""),0.0)</f>
        <v>0</v>
      </c>
    </row>
    <row r="2324">
      <c r="A2324" s="1">
        <f>IFERROR(__xludf.DUMMYFUNCTION("""COMPUTED_VALUE"""),882277.0)</f>
        <v>882277</v>
      </c>
      <c r="B2324" s="2">
        <f>IFERROR(__xludf.DUMMYFUNCTION("""COMPUTED_VALUE"""),42745.81681476821)</f>
        <v>42745.81681</v>
      </c>
      <c r="C2324" s="1" t="str">
        <f>IFERROR(__xludf.DUMMYFUNCTION("""COMPUTED_VALUE"""),"treatment")</f>
        <v>treatment</v>
      </c>
      <c r="D2324" s="1" t="str">
        <f>IFERROR(__xludf.DUMMYFUNCTION("""COMPUTED_VALUE"""),"new_page")</f>
        <v>new_page</v>
      </c>
      <c r="E2324" s="1">
        <f>IFERROR(__xludf.DUMMYFUNCTION("""COMPUTED_VALUE"""),0.0)</f>
        <v>0</v>
      </c>
    </row>
    <row r="2325">
      <c r="A2325" s="1">
        <f>IFERROR(__xludf.DUMMYFUNCTION("""COMPUTED_VALUE"""),763696.0)</f>
        <v>763696</v>
      </c>
      <c r="B2325" s="2">
        <f>IFERROR(__xludf.DUMMYFUNCTION("""COMPUTED_VALUE"""),42742.8881573823)</f>
        <v>42742.88816</v>
      </c>
      <c r="C2325" s="1" t="str">
        <f>IFERROR(__xludf.DUMMYFUNCTION("""COMPUTED_VALUE"""),"control")</f>
        <v>control</v>
      </c>
      <c r="D2325" s="1" t="str">
        <f>IFERROR(__xludf.DUMMYFUNCTION("""COMPUTED_VALUE"""),"old_page")</f>
        <v>old_page</v>
      </c>
      <c r="E2325" s="1">
        <f>IFERROR(__xludf.DUMMYFUNCTION("""COMPUTED_VALUE"""),0.0)</f>
        <v>0</v>
      </c>
    </row>
    <row r="2326">
      <c r="A2326" s="1">
        <f>IFERROR(__xludf.DUMMYFUNCTION("""COMPUTED_VALUE"""),724775.0)</f>
        <v>724775</v>
      </c>
      <c r="B2326" s="2">
        <f>IFERROR(__xludf.DUMMYFUNCTION("""COMPUTED_VALUE"""),42750.12498006644)</f>
        <v>42750.12498</v>
      </c>
      <c r="C2326" s="1" t="str">
        <f>IFERROR(__xludf.DUMMYFUNCTION("""COMPUTED_VALUE"""),"treatment")</f>
        <v>treatment</v>
      </c>
      <c r="D2326" s="1" t="str">
        <f>IFERROR(__xludf.DUMMYFUNCTION("""COMPUTED_VALUE"""),"new_page")</f>
        <v>new_page</v>
      </c>
      <c r="E2326" s="1">
        <f>IFERROR(__xludf.DUMMYFUNCTION("""COMPUTED_VALUE"""),0.0)</f>
        <v>0</v>
      </c>
    </row>
    <row r="2327">
      <c r="A2327" s="1">
        <f>IFERROR(__xludf.DUMMYFUNCTION("""COMPUTED_VALUE"""),805534.0)</f>
        <v>805534</v>
      </c>
      <c r="B2327" s="2">
        <f>IFERROR(__xludf.DUMMYFUNCTION("""COMPUTED_VALUE"""),42743.356344114225)</f>
        <v>42743.35634</v>
      </c>
      <c r="C2327" s="1" t="str">
        <f>IFERROR(__xludf.DUMMYFUNCTION("""COMPUTED_VALUE"""),"treatment")</f>
        <v>treatment</v>
      </c>
      <c r="D2327" s="1" t="str">
        <f>IFERROR(__xludf.DUMMYFUNCTION("""COMPUTED_VALUE"""),"new_page")</f>
        <v>new_page</v>
      </c>
      <c r="E2327" s="1">
        <f>IFERROR(__xludf.DUMMYFUNCTION("""COMPUTED_VALUE"""),0.0)</f>
        <v>0</v>
      </c>
    </row>
    <row r="2328">
      <c r="A2328" s="1">
        <f>IFERROR(__xludf.DUMMYFUNCTION("""COMPUTED_VALUE"""),885007.0)</f>
        <v>885007</v>
      </c>
      <c r="B2328" s="2">
        <f>IFERROR(__xludf.DUMMYFUNCTION("""COMPUTED_VALUE"""),42738.78645633461)</f>
        <v>42738.78646</v>
      </c>
      <c r="C2328" s="1" t="str">
        <f>IFERROR(__xludf.DUMMYFUNCTION("""COMPUTED_VALUE"""),"control")</f>
        <v>control</v>
      </c>
      <c r="D2328" s="1" t="str">
        <f>IFERROR(__xludf.DUMMYFUNCTION("""COMPUTED_VALUE"""),"old_page")</f>
        <v>old_page</v>
      </c>
      <c r="E2328" s="1">
        <f>IFERROR(__xludf.DUMMYFUNCTION("""COMPUTED_VALUE"""),0.0)</f>
        <v>0</v>
      </c>
    </row>
    <row r="2329">
      <c r="A2329" s="1">
        <f>IFERROR(__xludf.DUMMYFUNCTION("""COMPUTED_VALUE"""),644539.0)</f>
        <v>644539</v>
      </c>
      <c r="B2329" s="2">
        <f>IFERROR(__xludf.DUMMYFUNCTION("""COMPUTED_VALUE"""),42747.48189274859)</f>
        <v>42747.48189</v>
      </c>
      <c r="C2329" s="1" t="str">
        <f>IFERROR(__xludf.DUMMYFUNCTION("""COMPUTED_VALUE"""),"control")</f>
        <v>control</v>
      </c>
      <c r="D2329" s="1" t="str">
        <f>IFERROR(__xludf.DUMMYFUNCTION("""COMPUTED_VALUE"""),"old_page")</f>
        <v>old_page</v>
      </c>
      <c r="E2329" s="1">
        <f>IFERROR(__xludf.DUMMYFUNCTION("""COMPUTED_VALUE"""),0.0)</f>
        <v>0</v>
      </c>
    </row>
    <row r="2330">
      <c r="A2330" s="1">
        <f>IFERROR(__xludf.DUMMYFUNCTION("""COMPUTED_VALUE"""),840290.0)</f>
        <v>840290</v>
      </c>
      <c r="B2330" s="2">
        <f>IFERROR(__xludf.DUMMYFUNCTION("""COMPUTED_VALUE"""),42743.300134163335)</f>
        <v>42743.30013</v>
      </c>
      <c r="C2330" s="1" t="str">
        <f>IFERROR(__xludf.DUMMYFUNCTION("""COMPUTED_VALUE"""),"treatment")</f>
        <v>treatment</v>
      </c>
      <c r="D2330" s="1" t="str">
        <f>IFERROR(__xludf.DUMMYFUNCTION("""COMPUTED_VALUE"""),"new_page")</f>
        <v>new_page</v>
      </c>
      <c r="E2330" s="1">
        <f>IFERROR(__xludf.DUMMYFUNCTION("""COMPUTED_VALUE"""),1.0)</f>
        <v>1</v>
      </c>
    </row>
    <row r="2331">
      <c r="A2331" s="1">
        <f>IFERROR(__xludf.DUMMYFUNCTION("""COMPUTED_VALUE"""),651483.0)</f>
        <v>651483</v>
      </c>
      <c r="B2331" s="2">
        <f>IFERROR(__xludf.DUMMYFUNCTION("""COMPUTED_VALUE"""),42749.78056720073)</f>
        <v>42749.78057</v>
      </c>
      <c r="C2331" s="1" t="str">
        <f>IFERROR(__xludf.DUMMYFUNCTION("""COMPUTED_VALUE"""),"treatment")</f>
        <v>treatment</v>
      </c>
      <c r="D2331" s="1" t="str">
        <f>IFERROR(__xludf.DUMMYFUNCTION("""COMPUTED_VALUE"""),"new_page")</f>
        <v>new_page</v>
      </c>
      <c r="E2331" s="1">
        <f>IFERROR(__xludf.DUMMYFUNCTION("""COMPUTED_VALUE"""),0.0)</f>
        <v>0</v>
      </c>
    </row>
    <row r="2332">
      <c r="A2332" s="1">
        <f>IFERROR(__xludf.DUMMYFUNCTION("""COMPUTED_VALUE"""),713449.0)</f>
        <v>713449</v>
      </c>
      <c r="B2332" s="2">
        <f>IFERROR(__xludf.DUMMYFUNCTION("""COMPUTED_VALUE"""),42744.824086077046)</f>
        <v>42744.82409</v>
      </c>
      <c r="C2332" s="1" t="str">
        <f>IFERROR(__xludf.DUMMYFUNCTION("""COMPUTED_VALUE"""),"control")</f>
        <v>control</v>
      </c>
      <c r="D2332" s="1" t="str">
        <f>IFERROR(__xludf.DUMMYFUNCTION("""COMPUTED_VALUE"""),"old_page")</f>
        <v>old_page</v>
      </c>
      <c r="E2332" s="1">
        <f>IFERROR(__xludf.DUMMYFUNCTION("""COMPUTED_VALUE"""),0.0)</f>
        <v>0</v>
      </c>
    </row>
    <row r="2333">
      <c r="A2333" s="1">
        <f>IFERROR(__xludf.DUMMYFUNCTION("""COMPUTED_VALUE"""),791730.0)</f>
        <v>791730</v>
      </c>
      <c r="B2333" s="2">
        <f>IFERROR(__xludf.DUMMYFUNCTION("""COMPUTED_VALUE"""),42742.605654672014)</f>
        <v>42742.60565</v>
      </c>
      <c r="C2333" s="1" t="str">
        <f>IFERROR(__xludf.DUMMYFUNCTION("""COMPUTED_VALUE"""),"treatment")</f>
        <v>treatment</v>
      </c>
      <c r="D2333" s="1" t="str">
        <f>IFERROR(__xludf.DUMMYFUNCTION("""COMPUTED_VALUE"""),"new_page")</f>
        <v>new_page</v>
      </c>
      <c r="E2333" s="1">
        <f>IFERROR(__xludf.DUMMYFUNCTION("""COMPUTED_VALUE"""),0.0)</f>
        <v>0</v>
      </c>
    </row>
    <row r="2334">
      <c r="A2334" s="1">
        <f>IFERROR(__xludf.DUMMYFUNCTION("""COMPUTED_VALUE"""),785684.0)</f>
        <v>785684</v>
      </c>
      <c r="B2334" s="2">
        <f>IFERROR(__xludf.DUMMYFUNCTION("""COMPUTED_VALUE"""),42759.35407537184)</f>
        <v>42759.35408</v>
      </c>
      <c r="C2334" s="1" t="str">
        <f>IFERROR(__xludf.DUMMYFUNCTION("""COMPUTED_VALUE"""),"control")</f>
        <v>control</v>
      </c>
      <c r="D2334" s="1" t="str">
        <f>IFERROR(__xludf.DUMMYFUNCTION("""COMPUTED_VALUE"""),"old_page")</f>
        <v>old_page</v>
      </c>
      <c r="E2334" s="1">
        <f>IFERROR(__xludf.DUMMYFUNCTION("""COMPUTED_VALUE"""),0.0)</f>
        <v>0</v>
      </c>
    </row>
    <row r="2335">
      <c r="A2335" s="1">
        <f>IFERROR(__xludf.DUMMYFUNCTION("""COMPUTED_VALUE"""),705380.0)</f>
        <v>705380</v>
      </c>
      <c r="B2335" s="2">
        <f>IFERROR(__xludf.DUMMYFUNCTION("""COMPUTED_VALUE"""),42739.34035037091)</f>
        <v>42739.34035</v>
      </c>
      <c r="C2335" s="1" t="str">
        <f>IFERROR(__xludf.DUMMYFUNCTION("""COMPUTED_VALUE"""),"treatment")</f>
        <v>treatment</v>
      </c>
      <c r="D2335" s="1" t="str">
        <f>IFERROR(__xludf.DUMMYFUNCTION("""COMPUTED_VALUE"""),"new_page")</f>
        <v>new_page</v>
      </c>
      <c r="E2335" s="1">
        <f>IFERROR(__xludf.DUMMYFUNCTION("""COMPUTED_VALUE"""),0.0)</f>
        <v>0</v>
      </c>
    </row>
    <row r="2336">
      <c r="A2336" s="1">
        <f>IFERROR(__xludf.DUMMYFUNCTION("""COMPUTED_VALUE"""),676652.0)</f>
        <v>676652</v>
      </c>
      <c r="B2336" s="2">
        <f>IFERROR(__xludf.DUMMYFUNCTION("""COMPUTED_VALUE"""),42744.62111019608)</f>
        <v>42744.62111</v>
      </c>
      <c r="C2336" s="1" t="str">
        <f>IFERROR(__xludf.DUMMYFUNCTION("""COMPUTED_VALUE"""),"treatment")</f>
        <v>treatment</v>
      </c>
      <c r="D2336" s="1" t="str">
        <f>IFERROR(__xludf.DUMMYFUNCTION("""COMPUTED_VALUE"""),"new_page")</f>
        <v>new_page</v>
      </c>
      <c r="E2336" s="1">
        <f>IFERROR(__xludf.DUMMYFUNCTION("""COMPUTED_VALUE"""),0.0)</f>
        <v>0</v>
      </c>
    </row>
    <row r="2337">
      <c r="A2337" s="1">
        <f>IFERROR(__xludf.DUMMYFUNCTION("""COMPUTED_VALUE"""),827327.0)</f>
        <v>827327</v>
      </c>
      <c r="B2337" s="2">
        <f>IFERROR(__xludf.DUMMYFUNCTION("""COMPUTED_VALUE"""),42756.864007662174)</f>
        <v>42756.86401</v>
      </c>
      <c r="C2337" s="1" t="str">
        <f>IFERROR(__xludf.DUMMYFUNCTION("""COMPUTED_VALUE"""),"treatment")</f>
        <v>treatment</v>
      </c>
      <c r="D2337" s="1" t="str">
        <f>IFERROR(__xludf.DUMMYFUNCTION("""COMPUTED_VALUE"""),"new_page")</f>
        <v>new_page</v>
      </c>
      <c r="E2337" s="1">
        <f>IFERROR(__xludf.DUMMYFUNCTION("""COMPUTED_VALUE"""),0.0)</f>
        <v>0</v>
      </c>
    </row>
    <row r="2338">
      <c r="A2338" s="1">
        <f>IFERROR(__xludf.DUMMYFUNCTION("""COMPUTED_VALUE"""),630327.0)</f>
        <v>630327</v>
      </c>
      <c r="B2338" s="2">
        <f>IFERROR(__xludf.DUMMYFUNCTION("""COMPUTED_VALUE"""),42744.8660659773)</f>
        <v>42744.86607</v>
      </c>
      <c r="C2338" s="1" t="str">
        <f>IFERROR(__xludf.DUMMYFUNCTION("""COMPUTED_VALUE"""),"control")</f>
        <v>control</v>
      </c>
      <c r="D2338" s="1" t="str">
        <f>IFERROR(__xludf.DUMMYFUNCTION("""COMPUTED_VALUE"""),"old_page")</f>
        <v>old_page</v>
      </c>
      <c r="E2338" s="1">
        <f>IFERROR(__xludf.DUMMYFUNCTION("""COMPUTED_VALUE"""),0.0)</f>
        <v>0</v>
      </c>
    </row>
    <row r="2339">
      <c r="A2339" s="1">
        <f>IFERROR(__xludf.DUMMYFUNCTION("""COMPUTED_VALUE"""),717940.0)</f>
        <v>717940</v>
      </c>
      <c r="B2339" s="2">
        <f>IFERROR(__xludf.DUMMYFUNCTION("""COMPUTED_VALUE"""),42746.11316391492)</f>
        <v>42746.11316</v>
      </c>
      <c r="C2339" s="1" t="str">
        <f>IFERROR(__xludf.DUMMYFUNCTION("""COMPUTED_VALUE"""),"control")</f>
        <v>control</v>
      </c>
      <c r="D2339" s="1" t="str">
        <f>IFERROR(__xludf.DUMMYFUNCTION("""COMPUTED_VALUE"""),"old_page")</f>
        <v>old_page</v>
      </c>
      <c r="E2339" s="1">
        <f>IFERROR(__xludf.DUMMYFUNCTION("""COMPUTED_VALUE"""),0.0)</f>
        <v>0</v>
      </c>
    </row>
    <row r="2340">
      <c r="A2340" s="1">
        <f>IFERROR(__xludf.DUMMYFUNCTION("""COMPUTED_VALUE"""),817188.0)</f>
        <v>817188</v>
      </c>
      <c r="B2340" s="2">
        <f>IFERROR(__xludf.DUMMYFUNCTION("""COMPUTED_VALUE"""),42748.60887831735)</f>
        <v>42748.60888</v>
      </c>
      <c r="C2340" s="1" t="str">
        <f>IFERROR(__xludf.DUMMYFUNCTION("""COMPUTED_VALUE"""),"control")</f>
        <v>control</v>
      </c>
      <c r="D2340" s="1" t="str">
        <f>IFERROR(__xludf.DUMMYFUNCTION("""COMPUTED_VALUE"""),"old_page")</f>
        <v>old_page</v>
      </c>
      <c r="E2340" s="1">
        <f>IFERROR(__xludf.DUMMYFUNCTION("""COMPUTED_VALUE"""),0.0)</f>
        <v>0</v>
      </c>
    </row>
    <row r="2341">
      <c r="A2341" s="1">
        <f>IFERROR(__xludf.DUMMYFUNCTION("""COMPUTED_VALUE"""),918507.0)</f>
        <v>918507</v>
      </c>
      <c r="B2341" s="2">
        <f>IFERROR(__xludf.DUMMYFUNCTION("""COMPUTED_VALUE"""),42759.498226903495)</f>
        <v>42759.49823</v>
      </c>
      <c r="C2341" s="1" t="str">
        <f>IFERROR(__xludf.DUMMYFUNCTION("""COMPUTED_VALUE"""),"control")</f>
        <v>control</v>
      </c>
      <c r="D2341" s="1" t="str">
        <f>IFERROR(__xludf.DUMMYFUNCTION("""COMPUTED_VALUE"""),"old_page")</f>
        <v>old_page</v>
      </c>
      <c r="E2341" s="1">
        <f>IFERROR(__xludf.DUMMYFUNCTION("""COMPUTED_VALUE"""),0.0)</f>
        <v>0</v>
      </c>
    </row>
    <row r="2342">
      <c r="A2342" s="1">
        <f>IFERROR(__xludf.DUMMYFUNCTION("""COMPUTED_VALUE"""),745032.0)</f>
        <v>745032</v>
      </c>
      <c r="B2342" s="2">
        <f>IFERROR(__xludf.DUMMYFUNCTION("""COMPUTED_VALUE"""),42754.47378141286)</f>
        <v>42754.47378</v>
      </c>
      <c r="C2342" s="1" t="str">
        <f>IFERROR(__xludf.DUMMYFUNCTION("""COMPUTED_VALUE"""),"treatment")</f>
        <v>treatment</v>
      </c>
      <c r="D2342" s="1" t="str">
        <f>IFERROR(__xludf.DUMMYFUNCTION("""COMPUTED_VALUE"""),"new_page")</f>
        <v>new_page</v>
      </c>
      <c r="E2342" s="1">
        <f>IFERROR(__xludf.DUMMYFUNCTION("""COMPUTED_VALUE"""),0.0)</f>
        <v>0</v>
      </c>
    </row>
    <row r="2343">
      <c r="A2343" s="1">
        <f>IFERROR(__xludf.DUMMYFUNCTION("""COMPUTED_VALUE"""),908106.0)</f>
        <v>908106</v>
      </c>
      <c r="B2343" s="2">
        <f>IFERROR(__xludf.DUMMYFUNCTION("""COMPUTED_VALUE"""),42742.9715918002)</f>
        <v>42742.97159</v>
      </c>
      <c r="C2343" s="1" t="str">
        <f>IFERROR(__xludf.DUMMYFUNCTION("""COMPUTED_VALUE"""),"control")</f>
        <v>control</v>
      </c>
      <c r="D2343" s="1" t="str">
        <f>IFERROR(__xludf.DUMMYFUNCTION("""COMPUTED_VALUE"""),"old_page")</f>
        <v>old_page</v>
      </c>
      <c r="E2343" s="1">
        <f>IFERROR(__xludf.DUMMYFUNCTION("""COMPUTED_VALUE"""),0.0)</f>
        <v>0</v>
      </c>
    </row>
    <row r="2344">
      <c r="A2344" s="1">
        <f>IFERROR(__xludf.DUMMYFUNCTION("""COMPUTED_VALUE"""),933569.0)</f>
        <v>933569</v>
      </c>
      <c r="B2344" s="2">
        <f>IFERROR(__xludf.DUMMYFUNCTION("""COMPUTED_VALUE"""),42751.037766215406)</f>
        <v>42751.03777</v>
      </c>
      <c r="C2344" s="1" t="str">
        <f>IFERROR(__xludf.DUMMYFUNCTION("""COMPUTED_VALUE"""),"treatment")</f>
        <v>treatment</v>
      </c>
      <c r="D2344" s="1" t="str">
        <f>IFERROR(__xludf.DUMMYFUNCTION("""COMPUTED_VALUE"""),"new_page")</f>
        <v>new_page</v>
      </c>
      <c r="E2344" s="1">
        <f>IFERROR(__xludf.DUMMYFUNCTION("""COMPUTED_VALUE"""),0.0)</f>
        <v>0</v>
      </c>
    </row>
    <row r="2345">
      <c r="A2345" s="1">
        <f>IFERROR(__xludf.DUMMYFUNCTION("""COMPUTED_VALUE"""),810058.0)</f>
        <v>810058</v>
      </c>
      <c r="B2345" s="2">
        <f>IFERROR(__xludf.DUMMYFUNCTION("""COMPUTED_VALUE"""),42753.93131368455)</f>
        <v>42753.93131</v>
      </c>
      <c r="C2345" s="1" t="str">
        <f>IFERROR(__xludf.DUMMYFUNCTION("""COMPUTED_VALUE"""),"control")</f>
        <v>control</v>
      </c>
      <c r="D2345" s="1" t="str">
        <f>IFERROR(__xludf.DUMMYFUNCTION("""COMPUTED_VALUE"""),"old_page")</f>
        <v>old_page</v>
      </c>
      <c r="E2345" s="1">
        <f>IFERROR(__xludf.DUMMYFUNCTION("""COMPUTED_VALUE"""),0.0)</f>
        <v>0</v>
      </c>
    </row>
    <row r="2346">
      <c r="A2346" s="1">
        <f>IFERROR(__xludf.DUMMYFUNCTION("""COMPUTED_VALUE"""),937946.0)</f>
        <v>937946</v>
      </c>
      <c r="B2346" s="2">
        <f>IFERROR(__xludf.DUMMYFUNCTION("""COMPUTED_VALUE"""),42749.980925512005)</f>
        <v>42749.98093</v>
      </c>
      <c r="C2346" s="1" t="str">
        <f>IFERROR(__xludf.DUMMYFUNCTION("""COMPUTED_VALUE"""),"control")</f>
        <v>control</v>
      </c>
      <c r="D2346" s="1" t="str">
        <f>IFERROR(__xludf.DUMMYFUNCTION("""COMPUTED_VALUE"""),"old_page")</f>
        <v>old_page</v>
      </c>
      <c r="E2346" s="1">
        <f>IFERROR(__xludf.DUMMYFUNCTION("""COMPUTED_VALUE"""),0.0)</f>
        <v>0</v>
      </c>
    </row>
    <row r="2347">
      <c r="A2347" s="1">
        <f>IFERROR(__xludf.DUMMYFUNCTION("""COMPUTED_VALUE"""),821671.0)</f>
        <v>821671</v>
      </c>
      <c r="B2347" s="2">
        <f>IFERROR(__xludf.DUMMYFUNCTION("""COMPUTED_VALUE"""),42743.78483183145)</f>
        <v>42743.78483</v>
      </c>
      <c r="C2347" s="1" t="str">
        <f>IFERROR(__xludf.DUMMYFUNCTION("""COMPUTED_VALUE"""),"treatment")</f>
        <v>treatment</v>
      </c>
      <c r="D2347" s="1" t="str">
        <f>IFERROR(__xludf.DUMMYFUNCTION("""COMPUTED_VALUE"""),"new_page")</f>
        <v>new_page</v>
      </c>
      <c r="E2347" s="1">
        <f>IFERROR(__xludf.DUMMYFUNCTION("""COMPUTED_VALUE"""),0.0)</f>
        <v>0</v>
      </c>
    </row>
    <row r="2348">
      <c r="A2348" s="1">
        <f>IFERROR(__xludf.DUMMYFUNCTION("""COMPUTED_VALUE"""),822900.0)</f>
        <v>822900</v>
      </c>
      <c r="B2348" s="2">
        <f>IFERROR(__xludf.DUMMYFUNCTION("""COMPUTED_VALUE"""),42740.37295518638)</f>
        <v>42740.37296</v>
      </c>
      <c r="C2348" s="1" t="str">
        <f>IFERROR(__xludf.DUMMYFUNCTION("""COMPUTED_VALUE"""),"control")</f>
        <v>control</v>
      </c>
      <c r="D2348" s="1" t="str">
        <f>IFERROR(__xludf.DUMMYFUNCTION("""COMPUTED_VALUE"""),"old_page")</f>
        <v>old_page</v>
      </c>
      <c r="E2348" s="1">
        <f>IFERROR(__xludf.DUMMYFUNCTION("""COMPUTED_VALUE"""),0.0)</f>
        <v>0</v>
      </c>
    </row>
    <row r="2349">
      <c r="A2349" s="1">
        <f>IFERROR(__xludf.DUMMYFUNCTION("""COMPUTED_VALUE"""),683911.0)</f>
        <v>683911</v>
      </c>
      <c r="B2349" s="2">
        <f>IFERROR(__xludf.DUMMYFUNCTION("""COMPUTED_VALUE"""),42738.79092498876)</f>
        <v>42738.79092</v>
      </c>
      <c r="C2349" s="1" t="str">
        <f>IFERROR(__xludf.DUMMYFUNCTION("""COMPUTED_VALUE"""),"treatment")</f>
        <v>treatment</v>
      </c>
      <c r="D2349" s="1" t="str">
        <f>IFERROR(__xludf.DUMMYFUNCTION("""COMPUTED_VALUE"""),"new_page")</f>
        <v>new_page</v>
      </c>
      <c r="E2349" s="1">
        <f>IFERROR(__xludf.DUMMYFUNCTION("""COMPUTED_VALUE"""),0.0)</f>
        <v>0</v>
      </c>
    </row>
    <row r="2350">
      <c r="A2350" s="1">
        <f>IFERROR(__xludf.DUMMYFUNCTION("""COMPUTED_VALUE"""),775220.0)</f>
        <v>775220</v>
      </c>
      <c r="B2350" s="2">
        <f>IFERROR(__xludf.DUMMYFUNCTION("""COMPUTED_VALUE"""),42759.50276530899)</f>
        <v>42759.50277</v>
      </c>
      <c r="C2350" s="1" t="str">
        <f>IFERROR(__xludf.DUMMYFUNCTION("""COMPUTED_VALUE"""),"control")</f>
        <v>control</v>
      </c>
      <c r="D2350" s="1" t="str">
        <f>IFERROR(__xludf.DUMMYFUNCTION("""COMPUTED_VALUE"""),"old_page")</f>
        <v>old_page</v>
      </c>
      <c r="E2350" s="1">
        <f>IFERROR(__xludf.DUMMYFUNCTION("""COMPUTED_VALUE"""),0.0)</f>
        <v>0</v>
      </c>
    </row>
    <row r="2351">
      <c r="A2351" s="1">
        <f>IFERROR(__xludf.DUMMYFUNCTION("""COMPUTED_VALUE"""),876300.0)</f>
        <v>876300</v>
      </c>
      <c r="B2351" s="2">
        <f>IFERROR(__xludf.DUMMYFUNCTION("""COMPUTED_VALUE"""),42754.24698570551)</f>
        <v>42754.24699</v>
      </c>
      <c r="C2351" s="1" t="str">
        <f>IFERROR(__xludf.DUMMYFUNCTION("""COMPUTED_VALUE"""),"control")</f>
        <v>control</v>
      </c>
      <c r="D2351" s="1" t="str">
        <f>IFERROR(__xludf.DUMMYFUNCTION("""COMPUTED_VALUE"""),"old_page")</f>
        <v>old_page</v>
      </c>
      <c r="E2351" s="1">
        <f>IFERROR(__xludf.DUMMYFUNCTION("""COMPUTED_VALUE"""),1.0)</f>
        <v>1</v>
      </c>
    </row>
    <row r="2352">
      <c r="A2352" s="1">
        <f>IFERROR(__xludf.DUMMYFUNCTION("""COMPUTED_VALUE"""),795856.0)</f>
        <v>795856</v>
      </c>
      <c r="B2352" s="2">
        <f>IFERROR(__xludf.DUMMYFUNCTION("""COMPUTED_VALUE"""),42758.98345851735)</f>
        <v>42758.98346</v>
      </c>
      <c r="C2352" s="1" t="str">
        <f>IFERROR(__xludf.DUMMYFUNCTION("""COMPUTED_VALUE"""),"treatment")</f>
        <v>treatment</v>
      </c>
      <c r="D2352" s="1" t="str">
        <f>IFERROR(__xludf.DUMMYFUNCTION("""COMPUTED_VALUE"""),"new_page")</f>
        <v>new_page</v>
      </c>
      <c r="E2352" s="1">
        <f>IFERROR(__xludf.DUMMYFUNCTION("""COMPUTED_VALUE"""),0.0)</f>
        <v>0</v>
      </c>
    </row>
    <row r="2353">
      <c r="A2353" s="1">
        <f>IFERROR(__xludf.DUMMYFUNCTION("""COMPUTED_VALUE"""),746215.0)</f>
        <v>746215</v>
      </c>
      <c r="B2353" s="2">
        <f>IFERROR(__xludf.DUMMYFUNCTION("""COMPUTED_VALUE"""),42744.16266403516)</f>
        <v>42744.16266</v>
      </c>
      <c r="C2353" s="1" t="str">
        <f>IFERROR(__xludf.DUMMYFUNCTION("""COMPUTED_VALUE"""),"control")</f>
        <v>control</v>
      </c>
      <c r="D2353" s="1" t="str">
        <f>IFERROR(__xludf.DUMMYFUNCTION("""COMPUTED_VALUE"""),"old_page")</f>
        <v>old_page</v>
      </c>
      <c r="E2353" s="1">
        <f>IFERROR(__xludf.DUMMYFUNCTION("""COMPUTED_VALUE"""),0.0)</f>
        <v>0</v>
      </c>
    </row>
    <row r="2354">
      <c r="A2354" s="1">
        <f>IFERROR(__xludf.DUMMYFUNCTION("""COMPUTED_VALUE"""),900363.0)</f>
        <v>900363</v>
      </c>
      <c r="B2354" s="2">
        <f>IFERROR(__xludf.DUMMYFUNCTION("""COMPUTED_VALUE"""),42744.857067310244)</f>
        <v>42744.85707</v>
      </c>
      <c r="C2354" s="1" t="str">
        <f>IFERROR(__xludf.DUMMYFUNCTION("""COMPUTED_VALUE"""),"treatment")</f>
        <v>treatment</v>
      </c>
      <c r="D2354" s="1" t="str">
        <f>IFERROR(__xludf.DUMMYFUNCTION("""COMPUTED_VALUE"""),"new_page")</f>
        <v>new_page</v>
      </c>
      <c r="E2354" s="1">
        <f>IFERROR(__xludf.DUMMYFUNCTION("""COMPUTED_VALUE"""),0.0)</f>
        <v>0</v>
      </c>
    </row>
    <row r="2355">
      <c r="A2355" s="1">
        <f>IFERROR(__xludf.DUMMYFUNCTION("""COMPUTED_VALUE"""),902369.0)</f>
        <v>902369</v>
      </c>
      <c r="B2355" s="2">
        <f>IFERROR(__xludf.DUMMYFUNCTION("""COMPUTED_VALUE"""),42737.88447405672)</f>
        <v>42737.88447</v>
      </c>
      <c r="C2355" s="1" t="str">
        <f>IFERROR(__xludf.DUMMYFUNCTION("""COMPUTED_VALUE"""),"treatment")</f>
        <v>treatment</v>
      </c>
      <c r="D2355" s="1" t="str">
        <f>IFERROR(__xludf.DUMMYFUNCTION("""COMPUTED_VALUE"""),"new_page")</f>
        <v>new_page</v>
      </c>
      <c r="E2355" s="1">
        <f>IFERROR(__xludf.DUMMYFUNCTION("""COMPUTED_VALUE"""),0.0)</f>
        <v>0</v>
      </c>
    </row>
    <row r="2356">
      <c r="A2356" s="1">
        <f>IFERROR(__xludf.DUMMYFUNCTION("""COMPUTED_VALUE"""),719035.0)</f>
        <v>719035</v>
      </c>
      <c r="B2356" s="2">
        <f>IFERROR(__xludf.DUMMYFUNCTION("""COMPUTED_VALUE"""),42739.113013262824)</f>
        <v>42739.11301</v>
      </c>
      <c r="C2356" s="1" t="str">
        <f>IFERROR(__xludf.DUMMYFUNCTION("""COMPUTED_VALUE"""),"treatment")</f>
        <v>treatment</v>
      </c>
      <c r="D2356" s="1" t="str">
        <f>IFERROR(__xludf.DUMMYFUNCTION("""COMPUTED_VALUE"""),"new_page")</f>
        <v>new_page</v>
      </c>
      <c r="E2356" s="1">
        <f>IFERROR(__xludf.DUMMYFUNCTION("""COMPUTED_VALUE"""),0.0)</f>
        <v>0</v>
      </c>
    </row>
    <row r="2357">
      <c r="A2357" s="1">
        <f>IFERROR(__xludf.DUMMYFUNCTION("""COMPUTED_VALUE"""),820487.0)</f>
        <v>820487</v>
      </c>
      <c r="B2357" s="2">
        <f>IFERROR(__xludf.DUMMYFUNCTION("""COMPUTED_VALUE"""),42753.506467781954)</f>
        <v>42753.50647</v>
      </c>
      <c r="C2357" s="1" t="str">
        <f>IFERROR(__xludf.DUMMYFUNCTION("""COMPUTED_VALUE"""),"treatment")</f>
        <v>treatment</v>
      </c>
      <c r="D2357" s="1" t="str">
        <f>IFERROR(__xludf.DUMMYFUNCTION("""COMPUTED_VALUE"""),"new_page")</f>
        <v>new_page</v>
      </c>
      <c r="E2357" s="1">
        <f>IFERROR(__xludf.DUMMYFUNCTION("""COMPUTED_VALUE"""),0.0)</f>
        <v>0</v>
      </c>
    </row>
    <row r="2358">
      <c r="A2358" s="1">
        <f>IFERROR(__xludf.DUMMYFUNCTION("""COMPUTED_VALUE"""),715259.0)</f>
        <v>715259</v>
      </c>
      <c r="B2358" s="2">
        <f>IFERROR(__xludf.DUMMYFUNCTION("""COMPUTED_VALUE"""),42748.806857843876)</f>
        <v>42748.80686</v>
      </c>
      <c r="C2358" s="1" t="str">
        <f>IFERROR(__xludf.DUMMYFUNCTION("""COMPUTED_VALUE"""),"treatment")</f>
        <v>treatment</v>
      </c>
      <c r="D2358" s="1" t="str">
        <f>IFERROR(__xludf.DUMMYFUNCTION("""COMPUTED_VALUE"""),"new_page")</f>
        <v>new_page</v>
      </c>
      <c r="E2358" s="1">
        <f>IFERROR(__xludf.DUMMYFUNCTION("""COMPUTED_VALUE"""),0.0)</f>
        <v>0</v>
      </c>
    </row>
    <row r="2359">
      <c r="A2359" s="1">
        <f>IFERROR(__xludf.DUMMYFUNCTION("""COMPUTED_VALUE"""),759505.0)</f>
        <v>759505</v>
      </c>
      <c r="B2359" s="2">
        <f>IFERROR(__xludf.DUMMYFUNCTION("""COMPUTED_VALUE"""),42741.113266437475)</f>
        <v>42741.11327</v>
      </c>
      <c r="C2359" s="1" t="str">
        <f>IFERROR(__xludf.DUMMYFUNCTION("""COMPUTED_VALUE"""),"treatment")</f>
        <v>treatment</v>
      </c>
      <c r="D2359" s="1" t="str">
        <f>IFERROR(__xludf.DUMMYFUNCTION("""COMPUTED_VALUE"""),"new_page")</f>
        <v>new_page</v>
      </c>
      <c r="E2359" s="1">
        <f>IFERROR(__xludf.DUMMYFUNCTION("""COMPUTED_VALUE"""),0.0)</f>
        <v>0</v>
      </c>
    </row>
    <row r="2360">
      <c r="A2360" s="1">
        <f>IFERROR(__xludf.DUMMYFUNCTION("""COMPUTED_VALUE"""),854549.0)</f>
        <v>854549</v>
      </c>
      <c r="B2360" s="2">
        <f>IFERROR(__xludf.DUMMYFUNCTION("""COMPUTED_VALUE"""),42741.459434500845)</f>
        <v>42741.45943</v>
      </c>
      <c r="C2360" s="1" t="str">
        <f>IFERROR(__xludf.DUMMYFUNCTION("""COMPUTED_VALUE"""),"treatment")</f>
        <v>treatment</v>
      </c>
      <c r="D2360" s="1" t="str">
        <f>IFERROR(__xludf.DUMMYFUNCTION("""COMPUTED_VALUE"""),"new_page")</f>
        <v>new_page</v>
      </c>
      <c r="E2360" s="1">
        <f>IFERROR(__xludf.DUMMYFUNCTION("""COMPUTED_VALUE"""),0.0)</f>
        <v>0</v>
      </c>
    </row>
    <row r="2361">
      <c r="A2361" s="1">
        <f>IFERROR(__xludf.DUMMYFUNCTION("""COMPUTED_VALUE"""),936603.0)</f>
        <v>936603</v>
      </c>
      <c r="B2361" s="2">
        <f>IFERROR(__xludf.DUMMYFUNCTION("""COMPUTED_VALUE"""),42755.515374769086)</f>
        <v>42755.51537</v>
      </c>
      <c r="C2361" s="1" t="str">
        <f>IFERROR(__xludf.DUMMYFUNCTION("""COMPUTED_VALUE"""),"treatment")</f>
        <v>treatment</v>
      </c>
      <c r="D2361" s="1" t="str">
        <f>IFERROR(__xludf.DUMMYFUNCTION("""COMPUTED_VALUE"""),"new_page")</f>
        <v>new_page</v>
      </c>
      <c r="E2361" s="1">
        <f>IFERROR(__xludf.DUMMYFUNCTION("""COMPUTED_VALUE"""),0.0)</f>
        <v>0</v>
      </c>
    </row>
    <row r="2362">
      <c r="A2362" s="1">
        <f>IFERROR(__xludf.DUMMYFUNCTION("""COMPUTED_VALUE"""),646891.0)</f>
        <v>646891</v>
      </c>
      <c r="B2362" s="2">
        <f>IFERROR(__xludf.DUMMYFUNCTION("""COMPUTED_VALUE"""),42755.671963093184)</f>
        <v>42755.67196</v>
      </c>
      <c r="C2362" s="1" t="str">
        <f>IFERROR(__xludf.DUMMYFUNCTION("""COMPUTED_VALUE"""),"control")</f>
        <v>control</v>
      </c>
      <c r="D2362" s="1" t="str">
        <f>IFERROR(__xludf.DUMMYFUNCTION("""COMPUTED_VALUE"""),"old_page")</f>
        <v>old_page</v>
      </c>
      <c r="E2362" s="1">
        <f>IFERROR(__xludf.DUMMYFUNCTION("""COMPUTED_VALUE"""),0.0)</f>
        <v>0</v>
      </c>
    </row>
    <row r="2363">
      <c r="A2363" s="1">
        <f>IFERROR(__xludf.DUMMYFUNCTION("""COMPUTED_VALUE"""),803191.0)</f>
        <v>803191</v>
      </c>
      <c r="B2363" s="2">
        <f>IFERROR(__xludf.DUMMYFUNCTION("""COMPUTED_VALUE"""),42738.77854595396)</f>
        <v>42738.77855</v>
      </c>
      <c r="C2363" s="1" t="str">
        <f>IFERROR(__xludf.DUMMYFUNCTION("""COMPUTED_VALUE"""),"control")</f>
        <v>control</v>
      </c>
      <c r="D2363" s="1" t="str">
        <f>IFERROR(__xludf.DUMMYFUNCTION("""COMPUTED_VALUE"""),"old_page")</f>
        <v>old_page</v>
      </c>
      <c r="E2363" s="1">
        <f>IFERROR(__xludf.DUMMYFUNCTION("""COMPUTED_VALUE"""),0.0)</f>
        <v>0</v>
      </c>
    </row>
    <row r="2364">
      <c r="A2364" s="1">
        <f>IFERROR(__xludf.DUMMYFUNCTION("""COMPUTED_VALUE"""),783207.0)</f>
        <v>783207</v>
      </c>
      <c r="B2364" s="2">
        <f>IFERROR(__xludf.DUMMYFUNCTION("""COMPUTED_VALUE"""),42753.1447714167)</f>
        <v>42753.14477</v>
      </c>
      <c r="C2364" s="1" t="str">
        <f>IFERROR(__xludf.DUMMYFUNCTION("""COMPUTED_VALUE"""),"treatment")</f>
        <v>treatment</v>
      </c>
      <c r="D2364" s="1" t="str">
        <f>IFERROR(__xludf.DUMMYFUNCTION("""COMPUTED_VALUE"""),"new_page")</f>
        <v>new_page</v>
      </c>
      <c r="E2364" s="1">
        <f>IFERROR(__xludf.DUMMYFUNCTION("""COMPUTED_VALUE"""),0.0)</f>
        <v>0</v>
      </c>
    </row>
    <row r="2365">
      <c r="A2365" s="1">
        <f>IFERROR(__xludf.DUMMYFUNCTION("""COMPUTED_VALUE"""),917838.0)</f>
        <v>917838</v>
      </c>
      <c r="B2365" s="2">
        <f>IFERROR(__xludf.DUMMYFUNCTION("""COMPUTED_VALUE"""),42743.39586563675)</f>
        <v>42743.39587</v>
      </c>
      <c r="C2365" s="1" t="str">
        <f>IFERROR(__xludf.DUMMYFUNCTION("""COMPUTED_VALUE"""),"control")</f>
        <v>control</v>
      </c>
      <c r="D2365" s="1" t="str">
        <f>IFERROR(__xludf.DUMMYFUNCTION("""COMPUTED_VALUE"""),"old_page")</f>
        <v>old_page</v>
      </c>
      <c r="E2365" s="1">
        <f>IFERROR(__xludf.DUMMYFUNCTION("""COMPUTED_VALUE"""),0.0)</f>
        <v>0</v>
      </c>
    </row>
    <row r="2366">
      <c r="A2366" s="1">
        <f>IFERROR(__xludf.DUMMYFUNCTION("""COMPUTED_VALUE"""),839377.0)</f>
        <v>839377</v>
      </c>
      <c r="B2366" s="2">
        <f>IFERROR(__xludf.DUMMYFUNCTION("""COMPUTED_VALUE"""),42747.94690652125)</f>
        <v>42747.94691</v>
      </c>
      <c r="C2366" s="1" t="str">
        <f>IFERROR(__xludf.DUMMYFUNCTION("""COMPUTED_VALUE"""),"treatment")</f>
        <v>treatment</v>
      </c>
      <c r="D2366" s="1" t="str">
        <f>IFERROR(__xludf.DUMMYFUNCTION("""COMPUTED_VALUE"""),"new_page")</f>
        <v>new_page</v>
      </c>
      <c r="E2366" s="1">
        <f>IFERROR(__xludf.DUMMYFUNCTION("""COMPUTED_VALUE"""),0.0)</f>
        <v>0</v>
      </c>
    </row>
    <row r="2367">
      <c r="A2367" s="1">
        <f>IFERROR(__xludf.DUMMYFUNCTION("""COMPUTED_VALUE"""),868084.0)</f>
        <v>868084</v>
      </c>
      <c r="B2367" s="2">
        <f>IFERROR(__xludf.DUMMYFUNCTION("""COMPUTED_VALUE"""),42746.59711705315)</f>
        <v>42746.59712</v>
      </c>
      <c r="C2367" s="1" t="str">
        <f>IFERROR(__xludf.DUMMYFUNCTION("""COMPUTED_VALUE"""),"treatment")</f>
        <v>treatment</v>
      </c>
      <c r="D2367" s="1" t="str">
        <f>IFERROR(__xludf.DUMMYFUNCTION("""COMPUTED_VALUE"""),"new_page")</f>
        <v>new_page</v>
      </c>
      <c r="E2367" s="1">
        <f>IFERROR(__xludf.DUMMYFUNCTION("""COMPUTED_VALUE"""),0.0)</f>
        <v>0</v>
      </c>
    </row>
    <row r="2368">
      <c r="A2368" s="1">
        <f>IFERROR(__xludf.DUMMYFUNCTION("""COMPUTED_VALUE"""),857406.0)</f>
        <v>857406</v>
      </c>
      <c r="B2368" s="2">
        <f>IFERROR(__xludf.DUMMYFUNCTION("""COMPUTED_VALUE"""),42742.983714423484)</f>
        <v>42742.98371</v>
      </c>
      <c r="C2368" s="1" t="str">
        <f>IFERROR(__xludf.DUMMYFUNCTION("""COMPUTED_VALUE"""),"control")</f>
        <v>control</v>
      </c>
      <c r="D2368" s="1" t="str">
        <f>IFERROR(__xludf.DUMMYFUNCTION("""COMPUTED_VALUE"""),"old_page")</f>
        <v>old_page</v>
      </c>
      <c r="E2368" s="1">
        <f>IFERROR(__xludf.DUMMYFUNCTION("""COMPUTED_VALUE"""),0.0)</f>
        <v>0</v>
      </c>
    </row>
    <row r="2369">
      <c r="A2369" s="1">
        <f>IFERROR(__xludf.DUMMYFUNCTION("""COMPUTED_VALUE"""),683401.0)</f>
        <v>683401</v>
      </c>
      <c r="B2369" s="2">
        <f>IFERROR(__xludf.DUMMYFUNCTION("""COMPUTED_VALUE"""),42755.60375264684)</f>
        <v>42755.60375</v>
      </c>
      <c r="C2369" s="1" t="str">
        <f>IFERROR(__xludf.DUMMYFUNCTION("""COMPUTED_VALUE"""),"treatment")</f>
        <v>treatment</v>
      </c>
      <c r="D2369" s="1" t="str">
        <f>IFERROR(__xludf.DUMMYFUNCTION("""COMPUTED_VALUE"""),"new_page")</f>
        <v>new_page</v>
      </c>
      <c r="E2369" s="1">
        <f>IFERROR(__xludf.DUMMYFUNCTION("""COMPUTED_VALUE"""),0.0)</f>
        <v>0</v>
      </c>
    </row>
    <row r="2370">
      <c r="A2370" s="1">
        <f>IFERROR(__xludf.DUMMYFUNCTION("""COMPUTED_VALUE"""),843263.0)</f>
        <v>843263</v>
      </c>
      <c r="B2370" s="2">
        <f>IFERROR(__xludf.DUMMYFUNCTION("""COMPUTED_VALUE"""),42754.44420414316)</f>
        <v>42754.4442</v>
      </c>
      <c r="C2370" s="1" t="str">
        <f>IFERROR(__xludf.DUMMYFUNCTION("""COMPUTED_VALUE"""),"treatment")</f>
        <v>treatment</v>
      </c>
      <c r="D2370" s="1" t="str">
        <f>IFERROR(__xludf.DUMMYFUNCTION("""COMPUTED_VALUE"""),"new_page")</f>
        <v>new_page</v>
      </c>
      <c r="E2370" s="1">
        <f>IFERROR(__xludf.DUMMYFUNCTION("""COMPUTED_VALUE"""),0.0)</f>
        <v>0</v>
      </c>
    </row>
    <row r="2371">
      <c r="A2371" s="1">
        <f>IFERROR(__xludf.DUMMYFUNCTION("""COMPUTED_VALUE"""),775752.0)</f>
        <v>775752</v>
      </c>
      <c r="B2371" s="2">
        <f>IFERROR(__xludf.DUMMYFUNCTION("""COMPUTED_VALUE"""),42750.98879599647)</f>
        <v>42750.9888</v>
      </c>
      <c r="C2371" s="1" t="str">
        <f>IFERROR(__xludf.DUMMYFUNCTION("""COMPUTED_VALUE"""),"control")</f>
        <v>control</v>
      </c>
      <c r="D2371" s="1" t="str">
        <f>IFERROR(__xludf.DUMMYFUNCTION("""COMPUTED_VALUE"""),"old_page")</f>
        <v>old_page</v>
      </c>
      <c r="E2371" s="1">
        <f>IFERROR(__xludf.DUMMYFUNCTION("""COMPUTED_VALUE"""),0.0)</f>
        <v>0</v>
      </c>
    </row>
    <row r="2372">
      <c r="A2372" s="1">
        <f>IFERROR(__xludf.DUMMYFUNCTION("""COMPUTED_VALUE"""),887998.0)</f>
        <v>887998</v>
      </c>
      <c r="B2372" s="2">
        <f>IFERROR(__xludf.DUMMYFUNCTION("""COMPUTED_VALUE"""),42742.77670799697)</f>
        <v>42742.77671</v>
      </c>
      <c r="C2372" s="1" t="str">
        <f>IFERROR(__xludf.DUMMYFUNCTION("""COMPUTED_VALUE"""),"treatment")</f>
        <v>treatment</v>
      </c>
      <c r="D2372" s="1" t="str">
        <f>IFERROR(__xludf.DUMMYFUNCTION("""COMPUTED_VALUE"""),"new_page")</f>
        <v>new_page</v>
      </c>
      <c r="E2372" s="1">
        <f>IFERROR(__xludf.DUMMYFUNCTION("""COMPUTED_VALUE"""),0.0)</f>
        <v>0</v>
      </c>
    </row>
    <row r="2373">
      <c r="A2373" s="1">
        <f>IFERROR(__xludf.DUMMYFUNCTION("""COMPUTED_VALUE"""),726462.0)</f>
        <v>726462</v>
      </c>
      <c r="B2373" s="2">
        <f>IFERROR(__xludf.DUMMYFUNCTION("""COMPUTED_VALUE"""),42754.63074956947)</f>
        <v>42754.63075</v>
      </c>
      <c r="C2373" s="1" t="str">
        <f>IFERROR(__xludf.DUMMYFUNCTION("""COMPUTED_VALUE"""),"treatment")</f>
        <v>treatment</v>
      </c>
      <c r="D2373" s="1" t="str">
        <f>IFERROR(__xludf.DUMMYFUNCTION("""COMPUTED_VALUE"""),"new_page")</f>
        <v>new_page</v>
      </c>
      <c r="E2373" s="1">
        <f>IFERROR(__xludf.DUMMYFUNCTION("""COMPUTED_VALUE"""),0.0)</f>
        <v>0</v>
      </c>
    </row>
    <row r="2374">
      <c r="A2374" s="1">
        <f>IFERROR(__xludf.DUMMYFUNCTION("""COMPUTED_VALUE"""),866978.0)</f>
        <v>866978</v>
      </c>
      <c r="B2374" s="2">
        <f>IFERROR(__xludf.DUMMYFUNCTION("""COMPUTED_VALUE"""),42753.60988689798)</f>
        <v>42753.60989</v>
      </c>
      <c r="C2374" s="1" t="str">
        <f>IFERROR(__xludf.DUMMYFUNCTION("""COMPUTED_VALUE"""),"treatment")</f>
        <v>treatment</v>
      </c>
      <c r="D2374" s="1" t="str">
        <f>IFERROR(__xludf.DUMMYFUNCTION("""COMPUTED_VALUE"""),"new_page")</f>
        <v>new_page</v>
      </c>
      <c r="E2374" s="1">
        <f>IFERROR(__xludf.DUMMYFUNCTION("""COMPUTED_VALUE"""),0.0)</f>
        <v>0</v>
      </c>
    </row>
    <row r="2375">
      <c r="A2375" s="1">
        <f>IFERROR(__xludf.DUMMYFUNCTION("""COMPUTED_VALUE"""),886969.0)</f>
        <v>886969</v>
      </c>
      <c r="B2375" s="2">
        <f>IFERROR(__xludf.DUMMYFUNCTION("""COMPUTED_VALUE"""),42744.442194076044)</f>
        <v>42744.44219</v>
      </c>
      <c r="C2375" s="1" t="str">
        <f>IFERROR(__xludf.DUMMYFUNCTION("""COMPUTED_VALUE"""),"control")</f>
        <v>control</v>
      </c>
      <c r="D2375" s="1" t="str">
        <f>IFERROR(__xludf.DUMMYFUNCTION("""COMPUTED_VALUE"""),"old_page")</f>
        <v>old_page</v>
      </c>
      <c r="E2375" s="1">
        <f>IFERROR(__xludf.DUMMYFUNCTION("""COMPUTED_VALUE"""),0.0)</f>
        <v>0</v>
      </c>
    </row>
    <row r="2376">
      <c r="A2376" s="1">
        <f>IFERROR(__xludf.DUMMYFUNCTION("""COMPUTED_VALUE"""),805235.0)</f>
        <v>805235</v>
      </c>
      <c r="B2376" s="2">
        <f>IFERROR(__xludf.DUMMYFUNCTION("""COMPUTED_VALUE"""),42749.10895595708)</f>
        <v>42749.10896</v>
      </c>
      <c r="C2376" s="1" t="str">
        <f>IFERROR(__xludf.DUMMYFUNCTION("""COMPUTED_VALUE"""),"control")</f>
        <v>control</v>
      </c>
      <c r="D2376" s="1" t="str">
        <f>IFERROR(__xludf.DUMMYFUNCTION("""COMPUTED_VALUE"""),"old_page")</f>
        <v>old_page</v>
      </c>
      <c r="E2376" s="1">
        <f>IFERROR(__xludf.DUMMYFUNCTION("""COMPUTED_VALUE"""),1.0)</f>
        <v>1</v>
      </c>
    </row>
    <row r="2377">
      <c r="A2377" s="1">
        <f>IFERROR(__xludf.DUMMYFUNCTION("""COMPUTED_VALUE"""),777440.0)</f>
        <v>777440</v>
      </c>
      <c r="B2377" s="2">
        <f>IFERROR(__xludf.DUMMYFUNCTION("""COMPUTED_VALUE"""),42743.34857709147)</f>
        <v>42743.34858</v>
      </c>
      <c r="C2377" s="1" t="str">
        <f>IFERROR(__xludf.DUMMYFUNCTION("""COMPUTED_VALUE"""),"treatment")</f>
        <v>treatment</v>
      </c>
      <c r="D2377" s="1" t="str">
        <f>IFERROR(__xludf.DUMMYFUNCTION("""COMPUTED_VALUE"""),"new_page")</f>
        <v>new_page</v>
      </c>
      <c r="E2377" s="1">
        <f>IFERROR(__xludf.DUMMYFUNCTION("""COMPUTED_VALUE"""),0.0)</f>
        <v>0</v>
      </c>
    </row>
    <row r="2378">
      <c r="A2378" s="1">
        <f>IFERROR(__xludf.DUMMYFUNCTION("""COMPUTED_VALUE"""),938880.0)</f>
        <v>938880</v>
      </c>
      <c r="B2378" s="2">
        <f>IFERROR(__xludf.DUMMYFUNCTION("""COMPUTED_VALUE"""),42747.77345367639)</f>
        <v>42747.77345</v>
      </c>
      <c r="C2378" s="1" t="str">
        <f>IFERROR(__xludf.DUMMYFUNCTION("""COMPUTED_VALUE"""),"treatment")</f>
        <v>treatment</v>
      </c>
      <c r="D2378" s="1" t="str">
        <f>IFERROR(__xludf.DUMMYFUNCTION("""COMPUTED_VALUE"""),"new_page")</f>
        <v>new_page</v>
      </c>
      <c r="E2378" s="1">
        <f>IFERROR(__xludf.DUMMYFUNCTION("""COMPUTED_VALUE"""),0.0)</f>
        <v>0</v>
      </c>
    </row>
    <row r="2379">
      <c r="A2379" s="1">
        <f>IFERROR(__xludf.DUMMYFUNCTION("""COMPUTED_VALUE"""),890197.0)</f>
        <v>890197</v>
      </c>
      <c r="B2379" s="2">
        <f>IFERROR(__xludf.DUMMYFUNCTION("""COMPUTED_VALUE"""),42738.266167551716)</f>
        <v>42738.26617</v>
      </c>
      <c r="C2379" s="1" t="str">
        <f>IFERROR(__xludf.DUMMYFUNCTION("""COMPUTED_VALUE"""),"treatment")</f>
        <v>treatment</v>
      </c>
      <c r="D2379" s="1" t="str">
        <f>IFERROR(__xludf.DUMMYFUNCTION("""COMPUTED_VALUE"""),"new_page")</f>
        <v>new_page</v>
      </c>
      <c r="E2379" s="1">
        <f>IFERROR(__xludf.DUMMYFUNCTION("""COMPUTED_VALUE"""),0.0)</f>
        <v>0</v>
      </c>
    </row>
    <row r="2380">
      <c r="A2380" s="1">
        <f>IFERROR(__xludf.DUMMYFUNCTION("""COMPUTED_VALUE"""),869704.0)</f>
        <v>869704</v>
      </c>
      <c r="B2380" s="2">
        <f>IFERROR(__xludf.DUMMYFUNCTION("""COMPUTED_VALUE"""),42756.586314360546)</f>
        <v>42756.58631</v>
      </c>
      <c r="C2380" s="1" t="str">
        <f>IFERROR(__xludf.DUMMYFUNCTION("""COMPUTED_VALUE"""),"control")</f>
        <v>control</v>
      </c>
      <c r="D2380" s="1" t="str">
        <f>IFERROR(__xludf.DUMMYFUNCTION("""COMPUTED_VALUE"""),"old_page")</f>
        <v>old_page</v>
      </c>
      <c r="E2380" s="1">
        <f>IFERROR(__xludf.DUMMYFUNCTION("""COMPUTED_VALUE"""),0.0)</f>
        <v>0</v>
      </c>
    </row>
    <row r="2381">
      <c r="A2381" s="1">
        <f>IFERROR(__xludf.DUMMYFUNCTION("""COMPUTED_VALUE"""),658338.0)</f>
        <v>658338</v>
      </c>
      <c r="B2381" s="2">
        <f>IFERROR(__xludf.DUMMYFUNCTION("""COMPUTED_VALUE"""),42754.65671942044)</f>
        <v>42754.65672</v>
      </c>
      <c r="C2381" s="1" t="str">
        <f>IFERROR(__xludf.DUMMYFUNCTION("""COMPUTED_VALUE"""),"treatment")</f>
        <v>treatment</v>
      </c>
      <c r="D2381" s="1" t="str">
        <f>IFERROR(__xludf.DUMMYFUNCTION("""COMPUTED_VALUE"""),"new_page")</f>
        <v>new_page</v>
      </c>
      <c r="E2381" s="1">
        <f>IFERROR(__xludf.DUMMYFUNCTION("""COMPUTED_VALUE"""),1.0)</f>
        <v>1</v>
      </c>
    </row>
    <row r="2382">
      <c r="A2382" s="1">
        <f>IFERROR(__xludf.DUMMYFUNCTION("""COMPUTED_VALUE"""),893908.0)</f>
        <v>893908</v>
      </c>
      <c r="B2382" s="2">
        <f>IFERROR(__xludf.DUMMYFUNCTION("""COMPUTED_VALUE"""),42759.48690022205)</f>
        <v>42759.4869</v>
      </c>
      <c r="C2382" s="1" t="str">
        <f>IFERROR(__xludf.DUMMYFUNCTION("""COMPUTED_VALUE"""),"treatment")</f>
        <v>treatment</v>
      </c>
      <c r="D2382" s="1" t="str">
        <f>IFERROR(__xludf.DUMMYFUNCTION("""COMPUTED_VALUE"""),"new_page")</f>
        <v>new_page</v>
      </c>
      <c r="E2382" s="1">
        <f>IFERROR(__xludf.DUMMYFUNCTION("""COMPUTED_VALUE"""),0.0)</f>
        <v>0</v>
      </c>
    </row>
    <row r="2383">
      <c r="A2383" s="1">
        <f>IFERROR(__xludf.DUMMYFUNCTION("""COMPUTED_VALUE"""),831656.0)</f>
        <v>831656</v>
      </c>
      <c r="B2383" s="2">
        <f>IFERROR(__xludf.DUMMYFUNCTION("""COMPUTED_VALUE"""),42744.24097065471)</f>
        <v>42744.24097</v>
      </c>
      <c r="C2383" s="1" t="str">
        <f>IFERROR(__xludf.DUMMYFUNCTION("""COMPUTED_VALUE"""),"treatment")</f>
        <v>treatment</v>
      </c>
      <c r="D2383" s="1" t="str">
        <f>IFERROR(__xludf.DUMMYFUNCTION("""COMPUTED_VALUE"""),"new_page")</f>
        <v>new_page</v>
      </c>
      <c r="E2383" s="1">
        <f>IFERROR(__xludf.DUMMYFUNCTION("""COMPUTED_VALUE"""),0.0)</f>
        <v>0</v>
      </c>
    </row>
    <row r="2384">
      <c r="A2384" s="1">
        <f>IFERROR(__xludf.DUMMYFUNCTION("""COMPUTED_VALUE"""),735102.0)</f>
        <v>735102</v>
      </c>
      <c r="B2384" s="2">
        <f>IFERROR(__xludf.DUMMYFUNCTION("""COMPUTED_VALUE"""),42747.73884342971)</f>
        <v>42747.73884</v>
      </c>
      <c r="C2384" s="1" t="str">
        <f>IFERROR(__xludf.DUMMYFUNCTION("""COMPUTED_VALUE"""),"control")</f>
        <v>control</v>
      </c>
      <c r="D2384" s="1" t="str">
        <f>IFERROR(__xludf.DUMMYFUNCTION("""COMPUTED_VALUE"""),"old_page")</f>
        <v>old_page</v>
      </c>
      <c r="E2384" s="1">
        <f>IFERROR(__xludf.DUMMYFUNCTION("""COMPUTED_VALUE"""),0.0)</f>
        <v>0</v>
      </c>
    </row>
    <row r="2385">
      <c r="A2385" s="1">
        <f>IFERROR(__xludf.DUMMYFUNCTION("""COMPUTED_VALUE"""),893286.0)</f>
        <v>893286</v>
      </c>
      <c r="B2385" s="2">
        <f>IFERROR(__xludf.DUMMYFUNCTION("""COMPUTED_VALUE"""),42756.77820740323)</f>
        <v>42756.77821</v>
      </c>
      <c r="C2385" s="1" t="str">
        <f>IFERROR(__xludf.DUMMYFUNCTION("""COMPUTED_VALUE"""),"control")</f>
        <v>control</v>
      </c>
      <c r="D2385" s="1" t="str">
        <f>IFERROR(__xludf.DUMMYFUNCTION("""COMPUTED_VALUE"""),"old_page")</f>
        <v>old_page</v>
      </c>
      <c r="E2385" s="1">
        <f>IFERROR(__xludf.DUMMYFUNCTION("""COMPUTED_VALUE"""),0.0)</f>
        <v>0</v>
      </c>
    </row>
    <row r="2386">
      <c r="A2386" s="1">
        <f>IFERROR(__xludf.DUMMYFUNCTION("""COMPUTED_VALUE"""),667777.0)</f>
        <v>667777</v>
      </c>
      <c r="B2386" s="2">
        <f>IFERROR(__xludf.DUMMYFUNCTION("""COMPUTED_VALUE"""),42751.42858112823)</f>
        <v>42751.42858</v>
      </c>
      <c r="C2386" s="1" t="str">
        <f>IFERROR(__xludf.DUMMYFUNCTION("""COMPUTED_VALUE"""),"treatment")</f>
        <v>treatment</v>
      </c>
      <c r="D2386" s="1" t="str">
        <f>IFERROR(__xludf.DUMMYFUNCTION("""COMPUTED_VALUE"""),"new_page")</f>
        <v>new_page</v>
      </c>
      <c r="E2386" s="1">
        <f>IFERROR(__xludf.DUMMYFUNCTION("""COMPUTED_VALUE"""),0.0)</f>
        <v>0</v>
      </c>
    </row>
    <row r="2387">
      <c r="A2387" s="1">
        <f>IFERROR(__xludf.DUMMYFUNCTION("""COMPUTED_VALUE"""),687733.0)</f>
        <v>687733</v>
      </c>
      <c r="B2387" s="2">
        <f>IFERROR(__xludf.DUMMYFUNCTION("""COMPUTED_VALUE"""),42757.1922761347)</f>
        <v>42757.19228</v>
      </c>
      <c r="C2387" s="1" t="str">
        <f>IFERROR(__xludf.DUMMYFUNCTION("""COMPUTED_VALUE"""),"control")</f>
        <v>control</v>
      </c>
      <c r="D2387" s="1" t="str">
        <f>IFERROR(__xludf.DUMMYFUNCTION("""COMPUTED_VALUE"""),"old_page")</f>
        <v>old_page</v>
      </c>
      <c r="E2387" s="1">
        <f>IFERROR(__xludf.DUMMYFUNCTION("""COMPUTED_VALUE"""),0.0)</f>
        <v>0</v>
      </c>
    </row>
    <row r="2388">
      <c r="A2388" s="1">
        <f>IFERROR(__xludf.DUMMYFUNCTION("""COMPUTED_VALUE"""),773523.0)</f>
        <v>773523</v>
      </c>
      <c r="B2388" s="2">
        <f>IFERROR(__xludf.DUMMYFUNCTION("""COMPUTED_VALUE"""),42747.69596939596)</f>
        <v>42747.69597</v>
      </c>
      <c r="C2388" s="1" t="str">
        <f>IFERROR(__xludf.DUMMYFUNCTION("""COMPUTED_VALUE"""),"treatment")</f>
        <v>treatment</v>
      </c>
      <c r="D2388" s="1" t="str">
        <f>IFERROR(__xludf.DUMMYFUNCTION("""COMPUTED_VALUE"""),"new_page")</f>
        <v>new_page</v>
      </c>
      <c r="E2388" s="1">
        <f>IFERROR(__xludf.DUMMYFUNCTION("""COMPUTED_VALUE"""),0.0)</f>
        <v>0</v>
      </c>
    </row>
    <row r="2389">
      <c r="A2389" s="1">
        <f>IFERROR(__xludf.DUMMYFUNCTION("""COMPUTED_VALUE"""),878307.0)</f>
        <v>878307</v>
      </c>
      <c r="B2389" s="2">
        <f>IFERROR(__xludf.DUMMYFUNCTION("""COMPUTED_VALUE"""),42742.668661991425)</f>
        <v>42742.66866</v>
      </c>
      <c r="C2389" s="1" t="str">
        <f>IFERROR(__xludf.DUMMYFUNCTION("""COMPUTED_VALUE"""),"control")</f>
        <v>control</v>
      </c>
      <c r="D2389" s="1" t="str">
        <f>IFERROR(__xludf.DUMMYFUNCTION("""COMPUTED_VALUE"""),"old_page")</f>
        <v>old_page</v>
      </c>
      <c r="E2389" s="1">
        <f>IFERROR(__xludf.DUMMYFUNCTION("""COMPUTED_VALUE"""),1.0)</f>
        <v>1</v>
      </c>
    </row>
    <row r="2390">
      <c r="A2390" s="1">
        <f>IFERROR(__xludf.DUMMYFUNCTION("""COMPUTED_VALUE"""),816733.0)</f>
        <v>816733</v>
      </c>
      <c r="B2390" s="2">
        <f>IFERROR(__xludf.DUMMYFUNCTION("""COMPUTED_VALUE"""),42745.693009164956)</f>
        <v>42745.69301</v>
      </c>
      <c r="C2390" s="1" t="str">
        <f>IFERROR(__xludf.DUMMYFUNCTION("""COMPUTED_VALUE"""),"treatment")</f>
        <v>treatment</v>
      </c>
      <c r="D2390" s="1" t="str">
        <f>IFERROR(__xludf.DUMMYFUNCTION("""COMPUTED_VALUE"""),"new_page")</f>
        <v>new_page</v>
      </c>
      <c r="E2390" s="1">
        <f>IFERROR(__xludf.DUMMYFUNCTION("""COMPUTED_VALUE"""),0.0)</f>
        <v>0</v>
      </c>
    </row>
    <row r="2391">
      <c r="A2391" s="1">
        <f>IFERROR(__xludf.DUMMYFUNCTION("""COMPUTED_VALUE"""),663974.0)</f>
        <v>663974</v>
      </c>
      <c r="B2391" s="2">
        <f>IFERROR(__xludf.DUMMYFUNCTION("""COMPUTED_VALUE"""),42756.993452758834)</f>
        <v>42756.99345</v>
      </c>
      <c r="C2391" s="1" t="str">
        <f>IFERROR(__xludf.DUMMYFUNCTION("""COMPUTED_VALUE"""),"treatment")</f>
        <v>treatment</v>
      </c>
      <c r="D2391" s="1" t="str">
        <f>IFERROR(__xludf.DUMMYFUNCTION("""COMPUTED_VALUE"""),"new_page")</f>
        <v>new_page</v>
      </c>
      <c r="E2391" s="1">
        <f>IFERROR(__xludf.DUMMYFUNCTION("""COMPUTED_VALUE"""),0.0)</f>
        <v>0</v>
      </c>
    </row>
    <row r="2392">
      <c r="A2392" s="1">
        <f>IFERROR(__xludf.DUMMYFUNCTION("""COMPUTED_VALUE"""),644926.0)</f>
        <v>644926</v>
      </c>
      <c r="B2392" s="2">
        <f>IFERROR(__xludf.DUMMYFUNCTION("""COMPUTED_VALUE"""),42751.668612514644)</f>
        <v>42751.66861</v>
      </c>
      <c r="C2392" s="1" t="str">
        <f>IFERROR(__xludf.DUMMYFUNCTION("""COMPUTED_VALUE"""),"control")</f>
        <v>control</v>
      </c>
      <c r="D2392" s="1" t="str">
        <f>IFERROR(__xludf.DUMMYFUNCTION("""COMPUTED_VALUE"""),"old_page")</f>
        <v>old_page</v>
      </c>
      <c r="E2392" s="1">
        <f>IFERROR(__xludf.DUMMYFUNCTION("""COMPUTED_VALUE"""),0.0)</f>
        <v>0</v>
      </c>
    </row>
    <row r="2393">
      <c r="A2393" s="1">
        <f>IFERROR(__xludf.DUMMYFUNCTION("""COMPUTED_VALUE"""),757427.0)</f>
        <v>757427</v>
      </c>
      <c r="B2393" s="2">
        <f>IFERROR(__xludf.DUMMYFUNCTION("""COMPUTED_VALUE"""),42743.42153325357)</f>
        <v>42743.42153</v>
      </c>
      <c r="C2393" s="1" t="str">
        <f>IFERROR(__xludf.DUMMYFUNCTION("""COMPUTED_VALUE"""),"control")</f>
        <v>control</v>
      </c>
      <c r="D2393" s="1" t="str">
        <f>IFERROR(__xludf.DUMMYFUNCTION("""COMPUTED_VALUE"""),"old_page")</f>
        <v>old_page</v>
      </c>
      <c r="E2393" s="1">
        <f>IFERROR(__xludf.DUMMYFUNCTION("""COMPUTED_VALUE"""),1.0)</f>
        <v>1</v>
      </c>
    </row>
    <row r="2394">
      <c r="A2394" s="1">
        <f>IFERROR(__xludf.DUMMYFUNCTION("""COMPUTED_VALUE"""),701254.0)</f>
        <v>701254</v>
      </c>
      <c r="B2394" s="2">
        <f>IFERROR(__xludf.DUMMYFUNCTION("""COMPUTED_VALUE"""),42743.29183128187)</f>
        <v>42743.29183</v>
      </c>
      <c r="C2394" s="1" t="str">
        <f>IFERROR(__xludf.DUMMYFUNCTION("""COMPUTED_VALUE"""),"control")</f>
        <v>control</v>
      </c>
      <c r="D2394" s="1" t="str">
        <f>IFERROR(__xludf.DUMMYFUNCTION("""COMPUTED_VALUE"""),"old_page")</f>
        <v>old_page</v>
      </c>
      <c r="E2394" s="1">
        <f>IFERROR(__xludf.DUMMYFUNCTION("""COMPUTED_VALUE"""),0.0)</f>
        <v>0</v>
      </c>
    </row>
    <row r="2395">
      <c r="A2395" s="1">
        <f>IFERROR(__xludf.DUMMYFUNCTION("""COMPUTED_VALUE"""),725353.0)</f>
        <v>725353</v>
      </c>
      <c r="B2395" s="2">
        <f>IFERROR(__xludf.DUMMYFUNCTION("""COMPUTED_VALUE"""),42743.0503477206)</f>
        <v>42743.05035</v>
      </c>
      <c r="C2395" s="1" t="str">
        <f>IFERROR(__xludf.DUMMYFUNCTION("""COMPUTED_VALUE"""),"control")</f>
        <v>control</v>
      </c>
      <c r="D2395" s="1" t="str">
        <f>IFERROR(__xludf.DUMMYFUNCTION("""COMPUTED_VALUE"""),"old_page")</f>
        <v>old_page</v>
      </c>
      <c r="E2395" s="1">
        <f>IFERROR(__xludf.DUMMYFUNCTION("""COMPUTED_VALUE"""),0.0)</f>
        <v>0</v>
      </c>
    </row>
    <row r="2396">
      <c r="A2396" s="1">
        <f>IFERROR(__xludf.DUMMYFUNCTION("""COMPUTED_VALUE"""),673880.0)</f>
        <v>673880</v>
      </c>
      <c r="B2396" s="2">
        <f>IFERROR(__xludf.DUMMYFUNCTION("""COMPUTED_VALUE"""),42741.62088191429)</f>
        <v>42741.62088</v>
      </c>
      <c r="C2396" s="1" t="str">
        <f>IFERROR(__xludf.DUMMYFUNCTION("""COMPUTED_VALUE"""),"control")</f>
        <v>control</v>
      </c>
      <c r="D2396" s="1" t="str">
        <f>IFERROR(__xludf.DUMMYFUNCTION("""COMPUTED_VALUE"""),"old_page")</f>
        <v>old_page</v>
      </c>
      <c r="E2396" s="1">
        <f>IFERROR(__xludf.DUMMYFUNCTION("""COMPUTED_VALUE"""),0.0)</f>
        <v>0</v>
      </c>
    </row>
    <row r="2397">
      <c r="A2397" s="1">
        <f>IFERROR(__xludf.DUMMYFUNCTION("""COMPUTED_VALUE"""),878154.0)</f>
        <v>878154</v>
      </c>
      <c r="B2397" s="2">
        <f>IFERROR(__xludf.DUMMYFUNCTION("""COMPUTED_VALUE"""),42749.03594860619)</f>
        <v>42749.03595</v>
      </c>
      <c r="C2397" s="1" t="str">
        <f>IFERROR(__xludf.DUMMYFUNCTION("""COMPUTED_VALUE"""),"control")</f>
        <v>control</v>
      </c>
      <c r="D2397" s="1" t="str">
        <f>IFERROR(__xludf.DUMMYFUNCTION("""COMPUTED_VALUE"""),"old_page")</f>
        <v>old_page</v>
      </c>
      <c r="E2397" s="1">
        <f>IFERROR(__xludf.DUMMYFUNCTION("""COMPUTED_VALUE"""),0.0)</f>
        <v>0</v>
      </c>
    </row>
    <row r="2398">
      <c r="A2398" s="1">
        <f>IFERROR(__xludf.DUMMYFUNCTION("""COMPUTED_VALUE"""),785615.0)</f>
        <v>785615</v>
      </c>
      <c r="B2398" s="2">
        <f>IFERROR(__xludf.DUMMYFUNCTION("""COMPUTED_VALUE"""),42758.155322333565)</f>
        <v>42758.15532</v>
      </c>
      <c r="C2398" s="1" t="str">
        <f>IFERROR(__xludf.DUMMYFUNCTION("""COMPUTED_VALUE"""),"treatment")</f>
        <v>treatment</v>
      </c>
      <c r="D2398" s="1" t="str">
        <f>IFERROR(__xludf.DUMMYFUNCTION("""COMPUTED_VALUE"""),"new_page")</f>
        <v>new_page</v>
      </c>
      <c r="E2398" s="1">
        <f>IFERROR(__xludf.DUMMYFUNCTION("""COMPUTED_VALUE"""),0.0)</f>
        <v>0</v>
      </c>
    </row>
    <row r="2399">
      <c r="A2399" s="1">
        <f>IFERROR(__xludf.DUMMYFUNCTION("""COMPUTED_VALUE"""),643834.0)</f>
        <v>643834</v>
      </c>
      <c r="B2399" s="2">
        <f>IFERROR(__xludf.DUMMYFUNCTION("""COMPUTED_VALUE"""),42758.82441063362)</f>
        <v>42758.82441</v>
      </c>
      <c r="C2399" s="1" t="str">
        <f>IFERROR(__xludf.DUMMYFUNCTION("""COMPUTED_VALUE"""),"control")</f>
        <v>control</v>
      </c>
      <c r="D2399" s="1" t="str">
        <f>IFERROR(__xludf.DUMMYFUNCTION("""COMPUTED_VALUE"""),"old_page")</f>
        <v>old_page</v>
      </c>
      <c r="E2399" s="1">
        <f>IFERROR(__xludf.DUMMYFUNCTION("""COMPUTED_VALUE"""),0.0)</f>
        <v>0</v>
      </c>
    </row>
    <row r="2400">
      <c r="A2400" s="1">
        <f>IFERROR(__xludf.DUMMYFUNCTION("""COMPUTED_VALUE"""),740367.0)</f>
        <v>740367</v>
      </c>
      <c r="B2400" s="2">
        <f>IFERROR(__xludf.DUMMYFUNCTION("""COMPUTED_VALUE"""),42738.48237024112)</f>
        <v>42738.48237</v>
      </c>
      <c r="C2400" s="1" t="str">
        <f>IFERROR(__xludf.DUMMYFUNCTION("""COMPUTED_VALUE"""),"control")</f>
        <v>control</v>
      </c>
      <c r="D2400" s="1" t="str">
        <f>IFERROR(__xludf.DUMMYFUNCTION("""COMPUTED_VALUE"""),"old_page")</f>
        <v>old_page</v>
      </c>
      <c r="E2400" s="1">
        <f>IFERROR(__xludf.DUMMYFUNCTION("""COMPUTED_VALUE"""),1.0)</f>
        <v>1</v>
      </c>
    </row>
    <row r="2401">
      <c r="A2401" s="1">
        <f>IFERROR(__xludf.DUMMYFUNCTION("""COMPUTED_VALUE"""),832972.0)</f>
        <v>832972</v>
      </c>
      <c r="B2401" s="2">
        <f>IFERROR(__xludf.DUMMYFUNCTION("""COMPUTED_VALUE"""),42746.532392909074)</f>
        <v>42746.53239</v>
      </c>
      <c r="C2401" s="1" t="str">
        <f>IFERROR(__xludf.DUMMYFUNCTION("""COMPUTED_VALUE"""),"control")</f>
        <v>control</v>
      </c>
      <c r="D2401" s="1" t="str">
        <f>IFERROR(__xludf.DUMMYFUNCTION("""COMPUTED_VALUE"""),"old_page")</f>
        <v>old_page</v>
      </c>
      <c r="E2401" s="1">
        <f>IFERROR(__xludf.DUMMYFUNCTION("""COMPUTED_VALUE"""),0.0)</f>
        <v>0</v>
      </c>
    </row>
    <row r="2402">
      <c r="A2402" s="1">
        <f>IFERROR(__xludf.DUMMYFUNCTION("""COMPUTED_VALUE"""),768832.0)</f>
        <v>768832</v>
      </c>
      <c r="B2402" s="2">
        <f>IFERROR(__xludf.DUMMYFUNCTION("""COMPUTED_VALUE"""),42742.62552895765)</f>
        <v>42742.62553</v>
      </c>
      <c r="C2402" s="1" t="str">
        <f>IFERROR(__xludf.DUMMYFUNCTION("""COMPUTED_VALUE"""),"control")</f>
        <v>control</v>
      </c>
      <c r="D2402" s="1" t="str">
        <f>IFERROR(__xludf.DUMMYFUNCTION("""COMPUTED_VALUE"""),"old_page")</f>
        <v>old_page</v>
      </c>
      <c r="E2402" s="1">
        <f>IFERROR(__xludf.DUMMYFUNCTION("""COMPUTED_VALUE"""),0.0)</f>
        <v>0</v>
      </c>
    </row>
    <row r="2403">
      <c r="A2403" s="1">
        <f>IFERROR(__xludf.DUMMYFUNCTION("""COMPUTED_VALUE"""),699560.0)</f>
        <v>699560</v>
      </c>
      <c r="B2403" s="2">
        <f>IFERROR(__xludf.DUMMYFUNCTION("""COMPUTED_VALUE"""),42743.83895636921)</f>
        <v>42743.83896</v>
      </c>
      <c r="C2403" s="1" t="str">
        <f>IFERROR(__xludf.DUMMYFUNCTION("""COMPUTED_VALUE"""),"control")</f>
        <v>control</v>
      </c>
      <c r="D2403" s="1" t="str">
        <f>IFERROR(__xludf.DUMMYFUNCTION("""COMPUTED_VALUE"""),"old_page")</f>
        <v>old_page</v>
      </c>
      <c r="E2403" s="1">
        <f>IFERROR(__xludf.DUMMYFUNCTION("""COMPUTED_VALUE"""),0.0)</f>
        <v>0</v>
      </c>
    </row>
    <row r="2404">
      <c r="A2404" s="1">
        <f>IFERROR(__xludf.DUMMYFUNCTION("""COMPUTED_VALUE"""),632780.0)</f>
        <v>632780</v>
      </c>
      <c r="B2404" s="2">
        <f>IFERROR(__xludf.DUMMYFUNCTION("""COMPUTED_VALUE"""),42742.11519492259)</f>
        <v>42742.11519</v>
      </c>
      <c r="C2404" s="1" t="str">
        <f>IFERROR(__xludf.DUMMYFUNCTION("""COMPUTED_VALUE"""),"control")</f>
        <v>control</v>
      </c>
      <c r="D2404" s="1" t="str">
        <f>IFERROR(__xludf.DUMMYFUNCTION("""COMPUTED_VALUE"""),"old_page")</f>
        <v>old_page</v>
      </c>
      <c r="E2404" s="1">
        <f>IFERROR(__xludf.DUMMYFUNCTION("""COMPUTED_VALUE"""),0.0)</f>
        <v>0</v>
      </c>
    </row>
    <row r="2405">
      <c r="A2405" s="1">
        <f>IFERROR(__xludf.DUMMYFUNCTION("""COMPUTED_VALUE"""),933309.0)</f>
        <v>933309</v>
      </c>
      <c r="B2405" s="2">
        <f>IFERROR(__xludf.DUMMYFUNCTION("""COMPUTED_VALUE"""),42751.19561312938)</f>
        <v>42751.19561</v>
      </c>
      <c r="C2405" s="1" t="str">
        <f>IFERROR(__xludf.DUMMYFUNCTION("""COMPUTED_VALUE"""),"control")</f>
        <v>control</v>
      </c>
      <c r="D2405" s="1" t="str">
        <f>IFERROR(__xludf.DUMMYFUNCTION("""COMPUTED_VALUE"""),"old_page")</f>
        <v>old_page</v>
      </c>
      <c r="E2405" s="1">
        <f>IFERROR(__xludf.DUMMYFUNCTION("""COMPUTED_VALUE"""),1.0)</f>
        <v>1</v>
      </c>
    </row>
    <row r="2406">
      <c r="A2406" s="1">
        <f>IFERROR(__xludf.DUMMYFUNCTION("""COMPUTED_VALUE"""),714969.0)</f>
        <v>714969</v>
      </c>
      <c r="B2406" s="2">
        <f>IFERROR(__xludf.DUMMYFUNCTION("""COMPUTED_VALUE"""),42749.85396240134)</f>
        <v>42749.85396</v>
      </c>
      <c r="C2406" s="1" t="str">
        <f>IFERROR(__xludf.DUMMYFUNCTION("""COMPUTED_VALUE"""),"control")</f>
        <v>control</v>
      </c>
      <c r="D2406" s="1" t="str">
        <f>IFERROR(__xludf.DUMMYFUNCTION("""COMPUTED_VALUE"""),"old_page")</f>
        <v>old_page</v>
      </c>
      <c r="E2406" s="1">
        <f>IFERROR(__xludf.DUMMYFUNCTION("""COMPUTED_VALUE"""),1.0)</f>
        <v>1</v>
      </c>
    </row>
    <row r="2407">
      <c r="A2407" s="1">
        <f>IFERROR(__xludf.DUMMYFUNCTION("""COMPUTED_VALUE"""),909859.0)</f>
        <v>909859</v>
      </c>
      <c r="B2407" s="2">
        <f>IFERROR(__xludf.DUMMYFUNCTION("""COMPUTED_VALUE"""),42758.489869936275)</f>
        <v>42758.48987</v>
      </c>
      <c r="C2407" s="1" t="str">
        <f>IFERROR(__xludf.DUMMYFUNCTION("""COMPUTED_VALUE"""),"treatment")</f>
        <v>treatment</v>
      </c>
      <c r="D2407" s="1" t="str">
        <f>IFERROR(__xludf.DUMMYFUNCTION("""COMPUTED_VALUE"""),"new_page")</f>
        <v>new_page</v>
      </c>
      <c r="E2407" s="1">
        <f>IFERROR(__xludf.DUMMYFUNCTION("""COMPUTED_VALUE"""),0.0)</f>
        <v>0</v>
      </c>
    </row>
    <row r="2408">
      <c r="A2408" s="1">
        <f>IFERROR(__xludf.DUMMYFUNCTION("""COMPUTED_VALUE"""),802357.0)</f>
        <v>802357</v>
      </c>
      <c r="B2408" s="2">
        <f>IFERROR(__xludf.DUMMYFUNCTION("""COMPUTED_VALUE"""),42753.692622174756)</f>
        <v>42753.69262</v>
      </c>
      <c r="C2408" s="1" t="str">
        <f>IFERROR(__xludf.DUMMYFUNCTION("""COMPUTED_VALUE"""),"control")</f>
        <v>control</v>
      </c>
      <c r="D2408" s="1" t="str">
        <f>IFERROR(__xludf.DUMMYFUNCTION("""COMPUTED_VALUE"""),"old_page")</f>
        <v>old_page</v>
      </c>
      <c r="E2408" s="1">
        <f>IFERROR(__xludf.DUMMYFUNCTION("""COMPUTED_VALUE"""),0.0)</f>
        <v>0</v>
      </c>
    </row>
    <row r="2409">
      <c r="A2409" s="1">
        <f>IFERROR(__xludf.DUMMYFUNCTION("""COMPUTED_VALUE"""),759482.0)</f>
        <v>759482</v>
      </c>
      <c r="B2409" s="2">
        <f>IFERROR(__xludf.DUMMYFUNCTION("""COMPUTED_VALUE"""),42752.54817957651)</f>
        <v>42752.54818</v>
      </c>
      <c r="C2409" s="1" t="str">
        <f>IFERROR(__xludf.DUMMYFUNCTION("""COMPUTED_VALUE"""),"control")</f>
        <v>control</v>
      </c>
      <c r="D2409" s="1" t="str">
        <f>IFERROR(__xludf.DUMMYFUNCTION("""COMPUTED_VALUE"""),"old_page")</f>
        <v>old_page</v>
      </c>
      <c r="E2409" s="1">
        <f>IFERROR(__xludf.DUMMYFUNCTION("""COMPUTED_VALUE"""),1.0)</f>
        <v>1</v>
      </c>
    </row>
    <row r="2410">
      <c r="A2410" s="1">
        <f>IFERROR(__xludf.DUMMYFUNCTION("""COMPUTED_VALUE"""),647575.0)</f>
        <v>647575</v>
      </c>
      <c r="B2410" s="2">
        <f>IFERROR(__xludf.DUMMYFUNCTION("""COMPUTED_VALUE"""),42743.61314891191)</f>
        <v>42743.61315</v>
      </c>
      <c r="C2410" s="1" t="str">
        <f>IFERROR(__xludf.DUMMYFUNCTION("""COMPUTED_VALUE"""),"treatment")</f>
        <v>treatment</v>
      </c>
      <c r="D2410" s="1" t="str">
        <f>IFERROR(__xludf.DUMMYFUNCTION("""COMPUTED_VALUE"""),"new_page")</f>
        <v>new_page</v>
      </c>
      <c r="E2410" s="1">
        <f>IFERROR(__xludf.DUMMYFUNCTION("""COMPUTED_VALUE"""),0.0)</f>
        <v>0</v>
      </c>
    </row>
    <row r="2411">
      <c r="A2411" s="1">
        <f>IFERROR(__xludf.DUMMYFUNCTION("""COMPUTED_VALUE"""),729973.0)</f>
        <v>729973</v>
      </c>
      <c r="B2411" s="2">
        <f>IFERROR(__xludf.DUMMYFUNCTION("""COMPUTED_VALUE"""),42739.5934663817)</f>
        <v>42739.59347</v>
      </c>
      <c r="C2411" s="1" t="str">
        <f>IFERROR(__xludf.DUMMYFUNCTION("""COMPUTED_VALUE"""),"treatment")</f>
        <v>treatment</v>
      </c>
      <c r="D2411" s="1" t="str">
        <f>IFERROR(__xludf.DUMMYFUNCTION("""COMPUTED_VALUE"""),"new_page")</f>
        <v>new_page</v>
      </c>
      <c r="E2411" s="1">
        <f>IFERROR(__xludf.DUMMYFUNCTION("""COMPUTED_VALUE"""),0.0)</f>
        <v>0</v>
      </c>
    </row>
    <row r="2412">
      <c r="A2412" s="1">
        <f>IFERROR(__xludf.DUMMYFUNCTION("""COMPUTED_VALUE"""),803265.0)</f>
        <v>803265</v>
      </c>
      <c r="B2412" s="2">
        <f>IFERROR(__xludf.DUMMYFUNCTION("""COMPUTED_VALUE"""),42754.62031859493)</f>
        <v>42754.62032</v>
      </c>
      <c r="C2412" s="1" t="str">
        <f>IFERROR(__xludf.DUMMYFUNCTION("""COMPUTED_VALUE"""),"treatment")</f>
        <v>treatment</v>
      </c>
      <c r="D2412" s="1" t="str">
        <f>IFERROR(__xludf.DUMMYFUNCTION("""COMPUTED_VALUE"""),"new_page")</f>
        <v>new_page</v>
      </c>
      <c r="E2412" s="1">
        <f>IFERROR(__xludf.DUMMYFUNCTION("""COMPUTED_VALUE"""),0.0)</f>
        <v>0</v>
      </c>
    </row>
    <row r="2413">
      <c r="A2413" s="1">
        <f>IFERROR(__xludf.DUMMYFUNCTION("""COMPUTED_VALUE"""),654402.0)</f>
        <v>654402</v>
      </c>
      <c r="B2413" s="2">
        <f>IFERROR(__xludf.DUMMYFUNCTION("""COMPUTED_VALUE"""),42755.50279476471)</f>
        <v>42755.50279</v>
      </c>
      <c r="C2413" s="1" t="str">
        <f>IFERROR(__xludf.DUMMYFUNCTION("""COMPUTED_VALUE"""),"control")</f>
        <v>control</v>
      </c>
      <c r="D2413" s="1" t="str">
        <f>IFERROR(__xludf.DUMMYFUNCTION("""COMPUTED_VALUE"""),"old_page")</f>
        <v>old_page</v>
      </c>
      <c r="E2413" s="1">
        <f>IFERROR(__xludf.DUMMYFUNCTION("""COMPUTED_VALUE"""),0.0)</f>
        <v>0</v>
      </c>
    </row>
    <row r="2414">
      <c r="A2414" s="1">
        <f>IFERROR(__xludf.DUMMYFUNCTION("""COMPUTED_VALUE"""),883293.0)</f>
        <v>883293</v>
      </c>
      <c r="B2414" s="2">
        <f>IFERROR(__xludf.DUMMYFUNCTION("""COMPUTED_VALUE"""),42738.74295570699)</f>
        <v>42738.74296</v>
      </c>
      <c r="C2414" s="1" t="str">
        <f>IFERROR(__xludf.DUMMYFUNCTION("""COMPUTED_VALUE"""),"treatment")</f>
        <v>treatment</v>
      </c>
      <c r="D2414" s="1" t="str">
        <f>IFERROR(__xludf.DUMMYFUNCTION("""COMPUTED_VALUE"""),"new_page")</f>
        <v>new_page</v>
      </c>
      <c r="E2414" s="1">
        <f>IFERROR(__xludf.DUMMYFUNCTION("""COMPUTED_VALUE"""),0.0)</f>
        <v>0</v>
      </c>
    </row>
    <row r="2415">
      <c r="A2415" s="1">
        <f>IFERROR(__xludf.DUMMYFUNCTION("""COMPUTED_VALUE"""),725536.0)</f>
        <v>725536</v>
      </c>
      <c r="B2415" s="2">
        <f>IFERROR(__xludf.DUMMYFUNCTION("""COMPUTED_VALUE"""),42738.98377284637)</f>
        <v>42738.98377</v>
      </c>
      <c r="C2415" s="1" t="str">
        <f>IFERROR(__xludf.DUMMYFUNCTION("""COMPUTED_VALUE"""),"control")</f>
        <v>control</v>
      </c>
      <c r="D2415" s="1" t="str">
        <f>IFERROR(__xludf.DUMMYFUNCTION("""COMPUTED_VALUE"""),"old_page")</f>
        <v>old_page</v>
      </c>
      <c r="E2415" s="1">
        <f>IFERROR(__xludf.DUMMYFUNCTION("""COMPUTED_VALUE"""),0.0)</f>
        <v>0</v>
      </c>
    </row>
    <row r="2416">
      <c r="A2416" s="1">
        <f>IFERROR(__xludf.DUMMYFUNCTION("""COMPUTED_VALUE"""),723931.0)</f>
        <v>723931</v>
      </c>
      <c r="B2416" s="2">
        <f>IFERROR(__xludf.DUMMYFUNCTION("""COMPUTED_VALUE"""),42742.79350508296)</f>
        <v>42742.79351</v>
      </c>
      <c r="C2416" s="1" t="str">
        <f>IFERROR(__xludf.DUMMYFUNCTION("""COMPUTED_VALUE"""),"treatment")</f>
        <v>treatment</v>
      </c>
      <c r="D2416" s="1" t="str">
        <f>IFERROR(__xludf.DUMMYFUNCTION("""COMPUTED_VALUE"""),"new_page")</f>
        <v>new_page</v>
      </c>
      <c r="E2416" s="1">
        <f>IFERROR(__xludf.DUMMYFUNCTION("""COMPUTED_VALUE"""),0.0)</f>
        <v>0</v>
      </c>
    </row>
    <row r="2417">
      <c r="A2417" s="1">
        <f>IFERROR(__xludf.DUMMYFUNCTION("""COMPUTED_VALUE"""),907797.0)</f>
        <v>907797</v>
      </c>
      <c r="B2417" s="2">
        <f>IFERROR(__xludf.DUMMYFUNCTION("""COMPUTED_VALUE"""),42756.008554297405)</f>
        <v>42756.00855</v>
      </c>
      <c r="C2417" s="1" t="str">
        <f>IFERROR(__xludf.DUMMYFUNCTION("""COMPUTED_VALUE"""),"treatment")</f>
        <v>treatment</v>
      </c>
      <c r="D2417" s="1" t="str">
        <f>IFERROR(__xludf.DUMMYFUNCTION("""COMPUTED_VALUE"""),"new_page")</f>
        <v>new_page</v>
      </c>
      <c r="E2417" s="1">
        <f>IFERROR(__xludf.DUMMYFUNCTION("""COMPUTED_VALUE"""),1.0)</f>
        <v>1</v>
      </c>
    </row>
    <row r="2418">
      <c r="A2418" s="1">
        <f>IFERROR(__xludf.DUMMYFUNCTION("""COMPUTED_VALUE"""),896048.0)</f>
        <v>896048</v>
      </c>
      <c r="B2418" s="2">
        <f>IFERROR(__xludf.DUMMYFUNCTION("""COMPUTED_VALUE"""),42747.2026072107)</f>
        <v>42747.20261</v>
      </c>
      <c r="C2418" s="1" t="str">
        <f>IFERROR(__xludf.DUMMYFUNCTION("""COMPUTED_VALUE"""),"control")</f>
        <v>control</v>
      </c>
      <c r="D2418" s="1" t="str">
        <f>IFERROR(__xludf.DUMMYFUNCTION("""COMPUTED_VALUE"""),"old_page")</f>
        <v>old_page</v>
      </c>
      <c r="E2418" s="1">
        <f>IFERROR(__xludf.DUMMYFUNCTION("""COMPUTED_VALUE"""),0.0)</f>
        <v>0</v>
      </c>
    </row>
    <row r="2419">
      <c r="A2419" s="1">
        <f>IFERROR(__xludf.DUMMYFUNCTION("""COMPUTED_VALUE"""),933703.0)</f>
        <v>933703</v>
      </c>
      <c r="B2419" s="2">
        <f>IFERROR(__xludf.DUMMYFUNCTION("""COMPUTED_VALUE"""),42754.83967765794)</f>
        <v>42754.83968</v>
      </c>
      <c r="C2419" s="1" t="str">
        <f>IFERROR(__xludf.DUMMYFUNCTION("""COMPUTED_VALUE"""),"treatment")</f>
        <v>treatment</v>
      </c>
      <c r="D2419" s="1" t="str">
        <f>IFERROR(__xludf.DUMMYFUNCTION("""COMPUTED_VALUE"""),"new_page")</f>
        <v>new_page</v>
      </c>
      <c r="E2419" s="1">
        <f>IFERROR(__xludf.DUMMYFUNCTION("""COMPUTED_VALUE"""),0.0)</f>
        <v>0</v>
      </c>
    </row>
    <row r="2420">
      <c r="A2420" s="1">
        <f>IFERROR(__xludf.DUMMYFUNCTION("""COMPUTED_VALUE"""),933431.0)</f>
        <v>933431</v>
      </c>
      <c r="B2420" s="2">
        <f>IFERROR(__xludf.DUMMYFUNCTION("""COMPUTED_VALUE"""),42756.775449144836)</f>
        <v>42756.77545</v>
      </c>
      <c r="C2420" s="1" t="str">
        <f>IFERROR(__xludf.DUMMYFUNCTION("""COMPUTED_VALUE"""),"treatment")</f>
        <v>treatment</v>
      </c>
      <c r="D2420" s="1" t="str">
        <f>IFERROR(__xludf.DUMMYFUNCTION("""COMPUTED_VALUE"""),"new_page")</f>
        <v>new_page</v>
      </c>
      <c r="E2420" s="1">
        <f>IFERROR(__xludf.DUMMYFUNCTION("""COMPUTED_VALUE"""),0.0)</f>
        <v>0</v>
      </c>
    </row>
    <row r="2421">
      <c r="A2421" s="1">
        <f>IFERROR(__xludf.DUMMYFUNCTION("""COMPUTED_VALUE"""),708225.0)</f>
        <v>708225</v>
      </c>
      <c r="B2421" s="2">
        <f>IFERROR(__xludf.DUMMYFUNCTION("""COMPUTED_VALUE"""),42744.965236647695)</f>
        <v>42744.96524</v>
      </c>
      <c r="C2421" s="1" t="str">
        <f>IFERROR(__xludf.DUMMYFUNCTION("""COMPUTED_VALUE"""),"treatment")</f>
        <v>treatment</v>
      </c>
      <c r="D2421" s="1" t="str">
        <f>IFERROR(__xludf.DUMMYFUNCTION("""COMPUTED_VALUE"""),"new_page")</f>
        <v>new_page</v>
      </c>
      <c r="E2421" s="1">
        <f>IFERROR(__xludf.DUMMYFUNCTION("""COMPUTED_VALUE"""),0.0)</f>
        <v>0</v>
      </c>
    </row>
    <row r="2422">
      <c r="A2422" s="1">
        <f>IFERROR(__xludf.DUMMYFUNCTION("""COMPUTED_VALUE"""),760271.0)</f>
        <v>760271</v>
      </c>
      <c r="B2422" s="2">
        <f>IFERROR(__xludf.DUMMYFUNCTION("""COMPUTED_VALUE"""),42750.56054478579)</f>
        <v>42750.56054</v>
      </c>
      <c r="C2422" s="1" t="str">
        <f>IFERROR(__xludf.DUMMYFUNCTION("""COMPUTED_VALUE"""),"control")</f>
        <v>control</v>
      </c>
      <c r="D2422" s="1" t="str">
        <f>IFERROR(__xludf.DUMMYFUNCTION("""COMPUTED_VALUE"""),"old_page")</f>
        <v>old_page</v>
      </c>
      <c r="E2422" s="1">
        <f>IFERROR(__xludf.DUMMYFUNCTION("""COMPUTED_VALUE"""),0.0)</f>
        <v>0</v>
      </c>
    </row>
    <row r="2423">
      <c r="A2423" s="1">
        <f>IFERROR(__xludf.DUMMYFUNCTION("""COMPUTED_VALUE"""),856680.0)</f>
        <v>856680</v>
      </c>
      <c r="B2423" s="2">
        <f>IFERROR(__xludf.DUMMYFUNCTION("""COMPUTED_VALUE"""),42741.21035744716)</f>
        <v>42741.21036</v>
      </c>
      <c r="C2423" s="1" t="str">
        <f>IFERROR(__xludf.DUMMYFUNCTION("""COMPUTED_VALUE"""),"control")</f>
        <v>control</v>
      </c>
      <c r="D2423" s="1" t="str">
        <f>IFERROR(__xludf.DUMMYFUNCTION("""COMPUTED_VALUE"""),"old_page")</f>
        <v>old_page</v>
      </c>
      <c r="E2423" s="1">
        <f>IFERROR(__xludf.DUMMYFUNCTION("""COMPUTED_VALUE"""),0.0)</f>
        <v>0</v>
      </c>
    </row>
    <row r="2424">
      <c r="A2424" s="1">
        <f>IFERROR(__xludf.DUMMYFUNCTION("""COMPUTED_VALUE"""),853156.0)</f>
        <v>853156</v>
      </c>
      <c r="B2424" s="2">
        <f>IFERROR(__xludf.DUMMYFUNCTION("""COMPUTED_VALUE"""),42750.972053563266)</f>
        <v>42750.97205</v>
      </c>
      <c r="C2424" s="1" t="str">
        <f>IFERROR(__xludf.DUMMYFUNCTION("""COMPUTED_VALUE"""),"treatment")</f>
        <v>treatment</v>
      </c>
      <c r="D2424" s="1" t="str">
        <f>IFERROR(__xludf.DUMMYFUNCTION("""COMPUTED_VALUE"""),"old_page")</f>
        <v>old_page</v>
      </c>
      <c r="E2424" s="1">
        <f>IFERROR(__xludf.DUMMYFUNCTION("""COMPUTED_VALUE"""),0.0)</f>
        <v>0</v>
      </c>
    </row>
    <row r="2425">
      <c r="A2425" s="1">
        <f>IFERROR(__xludf.DUMMYFUNCTION("""COMPUTED_VALUE"""),829574.0)</f>
        <v>829574</v>
      </c>
      <c r="B2425" s="2">
        <f>IFERROR(__xludf.DUMMYFUNCTION("""COMPUTED_VALUE"""),42743.034700835975)</f>
        <v>42743.0347</v>
      </c>
      <c r="C2425" s="1" t="str">
        <f>IFERROR(__xludf.DUMMYFUNCTION("""COMPUTED_VALUE"""),"control")</f>
        <v>control</v>
      </c>
      <c r="D2425" s="1" t="str">
        <f>IFERROR(__xludf.DUMMYFUNCTION("""COMPUTED_VALUE"""),"old_page")</f>
        <v>old_page</v>
      </c>
      <c r="E2425" s="1">
        <f>IFERROR(__xludf.DUMMYFUNCTION("""COMPUTED_VALUE"""),0.0)</f>
        <v>0</v>
      </c>
    </row>
    <row r="2426">
      <c r="A2426" s="1">
        <f>IFERROR(__xludf.DUMMYFUNCTION("""COMPUTED_VALUE"""),656258.0)</f>
        <v>656258</v>
      </c>
      <c r="B2426" s="2">
        <f>IFERROR(__xludf.DUMMYFUNCTION("""COMPUTED_VALUE"""),42752.54787380104)</f>
        <v>42752.54787</v>
      </c>
      <c r="C2426" s="1" t="str">
        <f>IFERROR(__xludf.DUMMYFUNCTION("""COMPUTED_VALUE"""),"treatment")</f>
        <v>treatment</v>
      </c>
      <c r="D2426" s="1" t="str">
        <f>IFERROR(__xludf.DUMMYFUNCTION("""COMPUTED_VALUE"""),"new_page")</f>
        <v>new_page</v>
      </c>
      <c r="E2426" s="1">
        <f>IFERROR(__xludf.DUMMYFUNCTION("""COMPUTED_VALUE"""),0.0)</f>
        <v>0</v>
      </c>
    </row>
    <row r="2427">
      <c r="A2427" s="1">
        <f>IFERROR(__xludf.DUMMYFUNCTION("""COMPUTED_VALUE"""),890769.0)</f>
        <v>890769</v>
      </c>
      <c r="B2427" s="2">
        <f>IFERROR(__xludf.DUMMYFUNCTION("""COMPUTED_VALUE"""),42759.51750654561)</f>
        <v>42759.51751</v>
      </c>
      <c r="C2427" s="1" t="str">
        <f>IFERROR(__xludf.DUMMYFUNCTION("""COMPUTED_VALUE"""),"treatment")</f>
        <v>treatment</v>
      </c>
      <c r="D2427" s="1" t="str">
        <f>IFERROR(__xludf.DUMMYFUNCTION("""COMPUTED_VALUE"""),"new_page")</f>
        <v>new_page</v>
      </c>
      <c r="E2427" s="1">
        <f>IFERROR(__xludf.DUMMYFUNCTION("""COMPUTED_VALUE"""),0.0)</f>
        <v>0</v>
      </c>
    </row>
    <row r="2428">
      <c r="A2428" s="1">
        <f>IFERROR(__xludf.DUMMYFUNCTION("""COMPUTED_VALUE"""),929406.0)</f>
        <v>929406</v>
      </c>
      <c r="B2428" s="2">
        <f>IFERROR(__xludf.DUMMYFUNCTION("""COMPUTED_VALUE"""),42744.33046191529)</f>
        <v>42744.33046</v>
      </c>
      <c r="C2428" s="1" t="str">
        <f>IFERROR(__xludf.DUMMYFUNCTION("""COMPUTED_VALUE"""),"control")</f>
        <v>control</v>
      </c>
      <c r="D2428" s="1" t="str">
        <f>IFERROR(__xludf.DUMMYFUNCTION("""COMPUTED_VALUE"""),"old_page")</f>
        <v>old_page</v>
      </c>
      <c r="E2428" s="1">
        <f>IFERROR(__xludf.DUMMYFUNCTION("""COMPUTED_VALUE"""),0.0)</f>
        <v>0</v>
      </c>
    </row>
    <row r="2429">
      <c r="A2429" s="1">
        <f>IFERROR(__xludf.DUMMYFUNCTION("""COMPUTED_VALUE"""),646026.0)</f>
        <v>646026</v>
      </c>
      <c r="B2429" s="2">
        <f>IFERROR(__xludf.DUMMYFUNCTION("""COMPUTED_VALUE"""),42742.65994074766)</f>
        <v>42742.65994</v>
      </c>
      <c r="C2429" s="1" t="str">
        <f>IFERROR(__xludf.DUMMYFUNCTION("""COMPUTED_VALUE"""),"control")</f>
        <v>control</v>
      </c>
      <c r="D2429" s="1" t="str">
        <f>IFERROR(__xludf.DUMMYFUNCTION("""COMPUTED_VALUE"""),"old_page")</f>
        <v>old_page</v>
      </c>
      <c r="E2429" s="1">
        <f>IFERROR(__xludf.DUMMYFUNCTION("""COMPUTED_VALUE"""),0.0)</f>
        <v>0</v>
      </c>
    </row>
    <row r="2430">
      <c r="A2430" s="1">
        <f>IFERROR(__xludf.DUMMYFUNCTION("""COMPUTED_VALUE"""),867247.0)</f>
        <v>867247</v>
      </c>
      <c r="B2430" s="2">
        <f>IFERROR(__xludf.DUMMYFUNCTION("""COMPUTED_VALUE"""),42746.60849841661)</f>
        <v>42746.6085</v>
      </c>
      <c r="C2430" s="1" t="str">
        <f>IFERROR(__xludf.DUMMYFUNCTION("""COMPUTED_VALUE"""),"treatment")</f>
        <v>treatment</v>
      </c>
      <c r="D2430" s="1" t="str">
        <f>IFERROR(__xludf.DUMMYFUNCTION("""COMPUTED_VALUE"""),"new_page")</f>
        <v>new_page</v>
      </c>
      <c r="E2430" s="1">
        <f>IFERROR(__xludf.DUMMYFUNCTION("""COMPUTED_VALUE"""),0.0)</f>
        <v>0</v>
      </c>
    </row>
    <row r="2431">
      <c r="A2431" s="1">
        <f>IFERROR(__xludf.DUMMYFUNCTION("""COMPUTED_VALUE"""),830935.0)</f>
        <v>830935</v>
      </c>
      <c r="B2431" s="2">
        <f>IFERROR(__xludf.DUMMYFUNCTION("""COMPUTED_VALUE"""),42748.147780291736)</f>
        <v>42748.14778</v>
      </c>
      <c r="C2431" s="1" t="str">
        <f>IFERROR(__xludf.DUMMYFUNCTION("""COMPUTED_VALUE"""),"control")</f>
        <v>control</v>
      </c>
      <c r="D2431" s="1" t="str">
        <f>IFERROR(__xludf.DUMMYFUNCTION("""COMPUTED_VALUE"""),"old_page")</f>
        <v>old_page</v>
      </c>
      <c r="E2431" s="1">
        <f>IFERROR(__xludf.DUMMYFUNCTION("""COMPUTED_VALUE"""),0.0)</f>
        <v>0</v>
      </c>
    </row>
    <row r="2432">
      <c r="A2432" s="1">
        <f>IFERROR(__xludf.DUMMYFUNCTION("""COMPUTED_VALUE"""),704618.0)</f>
        <v>704618</v>
      </c>
      <c r="B2432" s="2">
        <f>IFERROR(__xludf.DUMMYFUNCTION("""COMPUTED_VALUE"""),42741.61329260778)</f>
        <v>42741.61329</v>
      </c>
      <c r="C2432" s="1" t="str">
        <f>IFERROR(__xludf.DUMMYFUNCTION("""COMPUTED_VALUE"""),"control")</f>
        <v>control</v>
      </c>
      <c r="D2432" s="1" t="str">
        <f>IFERROR(__xludf.DUMMYFUNCTION("""COMPUTED_VALUE"""),"old_page")</f>
        <v>old_page</v>
      </c>
      <c r="E2432" s="1">
        <f>IFERROR(__xludf.DUMMYFUNCTION("""COMPUTED_VALUE"""),0.0)</f>
        <v>0</v>
      </c>
    </row>
    <row r="2433">
      <c r="A2433" s="1">
        <f>IFERROR(__xludf.DUMMYFUNCTION("""COMPUTED_VALUE"""),889610.0)</f>
        <v>889610</v>
      </c>
      <c r="B2433" s="2">
        <f>IFERROR(__xludf.DUMMYFUNCTION("""COMPUTED_VALUE"""),42754.11750899102)</f>
        <v>42754.11751</v>
      </c>
      <c r="C2433" s="1" t="str">
        <f>IFERROR(__xludf.DUMMYFUNCTION("""COMPUTED_VALUE"""),"control")</f>
        <v>control</v>
      </c>
      <c r="D2433" s="1" t="str">
        <f>IFERROR(__xludf.DUMMYFUNCTION("""COMPUTED_VALUE"""),"old_page")</f>
        <v>old_page</v>
      </c>
      <c r="E2433" s="1">
        <f>IFERROR(__xludf.DUMMYFUNCTION("""COMPUTED_VALUE"""),0.0)</f>
        <v>0</v>
      </c>
    </row>
    <row r="2434">
      <c r="A2434" s="1">
        <f>IFERROR(__xludf.DUMMYFUNCTION("""COMPUTED_VALUE"""),937546.0)</f>
        <v>937546</v>
      </c>
      <c r="B2434" s="2">
        <f>IFERROR(__xludf.DUMMYFUNCTION("""COMPUTED_VALUE"""),42746.41432556323)</f>
        <v>42746.41433</v>
      </c>
      <c r="C2434" s="1" t="str">
        <f>IFERROR(__xludf.DUMMYFUNCTION("""COMPUTED_VALUE"""),"treatment")</f>
        <v>treatment</v>
      </c>
      <c r="D2434" s="1" t="str">
        <f>IFERROR(__xludf.DUMMYFUNCTION("""COMPUTED_VALUE"""),"new_page")</f>
        <v>new_page</v>
      </c>
      <c r="E2434" s="1">
        <f>IFERROR(__xludf.DUMMYFUNCTION("""COMPUTED_VALUE"""),1.0)</f>
        <v>1</v>
      </c>
    </row>
    <row r="2435">
      <c r="A2435" s="1">
        <f>IFERROR(__xludf.DUMMYFUNCTION("""COMPUTED_VALUE"""),829339.0)</f>
        <v>829339</v>
      </c>
      <c r="B2435" s="2">
        <f>IFERROR(__xludf.DUMMYFUNCTION("""COMPUTED_VALUE"""),42751.08785897139)</f>
        <v>42751.08786</v>
      </c>
      <c r="C2435" s="1" t="str">
        <f>IFERROR(__xludf.DUMMYFUNCTION("""COMPUTED_VALUE"""),"control")</f>
        <v>control</v>
      </c>
      <c r="D2435" s="1" t="str">
        <f>IFERROR(__xludf.DUMMYFUNCTION("""COMPUTED_VALUE"""),"old_page")</f>
        <v>old_page</v>
      </c>
      <c r="E2435" s="1">
        <f>IFERROR(__xludf.DUMMYFUNCTION("""COMPUTED_VALUE"""),0.0)</f>
        <v>0</v>
      </c>
    </row>
    <row r="2436">
      <c r="A2436" s="1">
        <f>IFERROR(__xludf.DUMMYFUNCTION("""COMPUTED_VALUE"""),723029.0)</f>
        <v>723029</v>
      </c>
      <c r="B2436" s="2">
        <f>IFERROR(__xludf.DUMMYFUNCTION("""COMPUTED_VALUE"""),42749.36410656301)</f>
        <v>42749.36411</v>
      </c>
      <c r="C2436" s="1" t="str">
        <f>IFERROR(__xludf.DUMMYFUNCTION("""COMPUTED_VALUE"""),"control")</f>
        <v>control</v>
      </c>
      <c r="D2436" s="1" t="str">
        <f>IFERROR(__xludf.DUMMYFUNCTION("""COMPUTED_VALUE"""),"old_page")</f>
        <v>old_page</v>
      </c>
      <c r="E2436" s="1">
        <f>IFERROR(__xludf.DUMMYFUNCTION("""COMPUTED_VALUE"""),0.0)</f>
        <v>0</v>
      </c>
    </row>
    <row r="2437">
      <c r="A2437" s="1">
        <f>IFERROR(__xludf.DUMMYFUNCTION("""COMPUTED_VALUE"""),912733.0)</f>
        <v>912733</v>
      </c>
      <c r="B2437" s="2">
        <f>IFERROR(__xludf.DUMMYFUNCTION("""COMPUTED_VALUE"""),42755.55048438338)</f>
        <v>42755.55048</v>
      </c>
      <c r="C2437" s="1" t="str">
        <f>IFERROR(__xludf.DUMMYFUNCTION("""COMPUTED_VALUE"""),"treatment")</f>
        <v>treatment</v>
      </c>
      <c r="D2437" s="1" t="str">
        <f>IFERROR(__xludf.DUMMYFUNCTION("""COMPUTED_VALUE"""),"new_page")</f>
        <v>new_page</v>
      </c>
      <c r="E2437" s="1">
        <f>IFERROR(__xludf.DUMMYFUNCTION("""COMPUTED_VALUE"""),0.0)</f>
        <v>0</v>
      </c>
    </row>
    <row r="2438">
      <c r="A2438" s="1">
        <f>IFERROR(__xludf.DUMMYFUNCTION("""COMPUTED_VALUE"""),874744.0)</f>
        <v>874744</v>
      </c>
      <c r="B2438" s="2">
        <f>IFERROR(__xludf.DUMMYFUNCTION("""COMPUTED_VALUE"""),42748.875136698065)</f>
        <v>42748.87514</v>
      </c>
      <c r="C2438" s="1" t="str">
        <f>IFERROR(__xludf.DUMMYFUNCTION("""COMPUTED_VALUE"""),"control")</f>
        <v>control</v>
      </c>
      <c r="D2438" s="1" t="str">
        <f>IFERROR(__xludf.DUMMYFUNCTION("""COMPUTED_VALUE"""),"old_page")</f>
        <v>old_page</v>
      </c>
      <c r="E2438" s="1">
        <f>IFERROR(__xludf.DUMMYFUNCTION("""COMPUTED_VALUE"""),1.0)</f>
        <v>1</v>
      </c>
    </row>
    <row r="2439">
      <c r="A2439" s="1">
        <f>IFERROR(__xludf.DUMMYFUNCTION("""COMPUTED_VALUE"""),646979.0)</f>
        <v>646979</v>
      </c>
      <c r="B2439" s="2">
        <f>IFERROR(__xludf.DUMMYFUNCTION("""COMPUTED_VALUE"""),42749.2832735804)</f>
        <v>42749.28327</v>
      </c>
      <c r="C2439" s="1" t="str">
        <f>IFERROR(__xludf.DUMMYFUNCTION("""COMPUTED_VALUE"""),"treatment")</f>
        <v>treatment</v>
      </c>
      <c r="D2439" s="1" t="str">
        <f>IFERROR(__xludf.DUMMYFUNCTION("""COMPUTED_VALUE"""),"new_page")</f>
        <v>new_page</v>
      </c>
      <c r="E2439" s="1">
        <f>IFERROR(__xludf.DUMMYFUNCTION("""COMPUTED_VALUE"""),0.0)</f>
        <v>0</v>
      </c>
    </row>
    <row r="2440">
      <c r="A2440" s="1">
        <f>IFERROR(__xludf.DUMMYFUNCTION("""COMPUTED_VALUE"""),867634.0)</f>
        <v>867634</v>
      </c>
      <c r="B2440" s="2">
        <f>IFERROR(__xludf.DUMMYFUNCTION("""COMPUTED_VALUE"""),42754.99791434559)</f>
        <v>42754.99791</v>
      </c>
      <c r="C2440" s="1" t="str">
        <f>IFERROR(__xludf.DUMMYFUNCTION("""COMPUTED_VALUE"""),"control")</f>
        <v>control</v>
      </c>
      <c r="D2440" s="1" t="str">
        <f>IFERROR(__xludf.DUMMYFUNCTION("""COMPUTED_VALUE"""),"old_page")</f>
        <v>old_page</v>
      </c>
      <c r="E2440" s="1">
        <f>IFERROR(__xludf.DUMMYFUNCTION("""COMPUTED_VALUE"""),0.0)</f>
        <v>0</v>
      </c>
    </row>
    <row r="2441">
      <c r="A2441" s="1">
        <f>IFERROR(__xludf.DUMMYFUNCTION("""COMPUTED_VALUE"""),701573.0)</f>
        <v>701573</v>
      </c>
      <c r="B2441" s="2">
        <f>IFERROR(__xludf.DUMMYFUNCTION("""COMPUTED_VALUE"""),42759.4311641661)</f>
        <v>42759.43116</v>
      </c>
      <c r="C2441" s="1" t="str">
        <f>IFERROR(__xludf.DUMMYFUNCTION("""COMPUTED_VALUE"""),"treatment")</f>
        <v>treatment</v>
      </c>
      <c r="D2441" s="1" t="str">
        <f>IFERROR(__xludf.DUMMYFUNCTION("""COMPUTED_VALUE"""),"new_page")</f>
        <v>new_page</v>
      </c>
      <c r="E2441" s="1">
        <f>IFERROR(__xludf.DUMMYFUNCTION("""COMPUTED_VALUE"""),0.0)</f>
        <v>0</v>
      </c>
    </row>
    <row r="2442">
      <c r="A2442" s="1">
        <f>IFERROR(__xludf.DUMMYFUNCTION("""COMPUTED_VALUE"""),816743.0)</f>
        <v>816743</v>
      </c>
      <c r="B2442" s="2">
        <f>IFERROR(__xludf.DUMMYFUNCTION("""COMPUTED_VALUE"""),42744.910719470776)</f>
        <v>42744.91072</v>
      </c>
      <c r="C2442" s="1" t="str">
        <f>IFERROR(__xludf.DUMMYFUNCTION("""COMPUTED_VALUE"""),"control")</f>
        <v>control</v>
      </c>
      <c r="D2442" s="1" t="str">
        <f>IFERROR(__xludf.DUMMYFUNCTION("""COMPUTED_VALUE"""),"old_page")</f>
        <v>old_page</v>
      </c>
      <c r="E2442" s="1">
        <f>IFERROR(__xludf.DUMMYFUNCTION("""COMPUTED_VALUE"""),0.0)</f>
        <v>0</v>
      </c>
    </row>
    <row r="2443">
      <c r="A2443" s="1">
        <f>IFERROR(__xludf.DUMMYFUNCTION("""COMPUTED_VALUE"""),843532.0)</f>
        <v>843532</v>
      </c>
      <c r="B2443" s="2">
        <f>IFERROR(__xludf.DUMMYFUNCTION("""COMPUTED_VALUE"""),42745.04674412722)</f>
        <v>42745.04674</v>
      </c>
      <c r="C2443" s="1" t="str">
        <f>IFERROR(__xludf.DUMMYFUNCTION("""COMPUTED_VALUE"""),"treatment")</f>
        <v>treatment</v>
      </c>
      <c r="D2443" s="1" t="str">
        <f>IFERROR(__xludf.DUMMYFUNCTION("""COMPUTED_VALUE"""),"new_page")</f>
        <v>new_page</v>
      </c>
      <c r="E2443" s="1">
        <f>IFERROR(__xludf.DUMMYFUNCTION("""COMPUTED_VALUE"""),0.0)</f>
        <v>0</v>
      </c>
    </row>
    <row r="2444">
      <c r="A2444" s="1">
        <f>IFERROR(__xludf.DUMMYFUNCTION("""COMPUTED_VALUE"""),850262.0)</f>
        <v>850262</v>
      </c>
      <c r="B2444" s="2">
        <f>IFERROR(__xludf.DUMMYFUNCTION("""COMPUTED_VALUE"""),42748.70606182891)</f>
        <v>42748.70606</v>
      </c>
      <c r="C2444" s="1" t="str">
        <f>IFERROR(__xludf.DUMMYFUNCTION("""COMPUTED_VALUE"""),"control")</f>
        <v>control</v>
      </c>
      <c r="D2444" s="1" t="str">
        <f>IFERROR(__xludf.DUMMYFUNCTION("""COMPUTED_VALUE"""),"old_page")</f>
        <v>old_page</v>
      </c>
      <c r="E2444" s="1">
        <f>IFERROR(__xludf.DUMMYFUNCTION("""COMPUTED_VALUE"""),0.0)</f>
        <v>0</v>
      </c>
    </row>
    <row r="2445">
      <c r="A2445" s="1">
        <f>IFERROR(__xludf.DUMMYFUNCTION("""COMPUTED_VALUE"""),754283.0)</f>
        <v>754283</v>
      </c>
      <c r="B2445" s="2">
        <f>IFERROR(__xludf.DUMMYFUNCTION("""COMPUTED_VALUE"""),42747.81734428859)</f>
        <v>42747.81734</v>
      </c>
      <c r="C2445" s="1" t="str">
        <f>IFERROR(__xludf.DUMMYFUNCTION("""COMPUTED_VALUE"""),"treatment")</f>
        <v>treatment</v>
      </c>
      <c r="D2445" s="1" t="str">
        <f>IFERROR(__xludf.DUMMYFUNCTION("""COMPUTED_VALUE"""),"new_page")</f>
        <v>new_page</v>
      </c>
      <c r="E2445" s="1">
        <f>IFERROR(__xludf.DUMMYFUNCTION("""COMPUTED_VALUE"""),0.0)</f>
        <v>0</v>
      </c>
    </row>
    <row r="2446">
      <c r="A2446" s="1">
        <f>IFERROR(__xludf.DUMMYFUNCTION("""COMPUTED_VALUE"""),792202.0)</f>
        <v>792202</v>
      </c>
      <c r="B2446" s="2">
        <f>IFERROR(__xludf.DUMMYFUNCTION("""COMPUTED_VALUE"""),42752.14005907184)</f>
        <v>42752.14006</v>
      </c>
      <c r="C2446" s="1" t="str">
        <f>IFERROR(__xludf.DUMMYFUNCTION("""COMPUTED_VALUE"""),"control")</f>
        <v>control</v>
      </c>
      <c r="D2446" s="1" t="str">
        <f>IFERROR(__xludf.DUMMYFUNCTION("""COMPUTED_VALUE"""),"old_page")</f>
        <v>old_page</v>
      </c>
      <c r="E2446" s="1">
        <f>IFERROR(__xludf.DUMMYFUNCTION("""COMPUTED_VALUE"""),0.0)</f>
        <v>0</v>
      </c>
    </row>
    <row r="2447">
      <c r="A2447" s="1">
        <f>IFERROR(__xludf.DUMMYFUNCTION("""COMPUTED_VALUE"""),801953.0)</f>
        <v>801953</v>
      </c>
      <c r="B2447" s="2">
        <f>IFERROR(__xludf.DUMMYFUNCTION("""COMPUTED_VALUE"""),42743.48340716201)</f>
        <v>42743.48341</v>
      </c>
      <c r="C2447" s="1" t="str">
        <f>IFERROR(__xludf.DUMMYFUNCTION("""COMPUTED_VALUE"""),"treatment")</f>
        <v>treatment</v>
      </c>
      <c r="D2447" s="1" t="str">
        <f>IFERROR(__xludf.DUMMYFUNCTION("""COMPUTED_VALUE"""),"new_page")</f>
        <v>new_page</v>
      </c>
      <c r="E2447" s="1">
        <f>IFERROR(__xludf.DUMMYFUNCTION("""COMPUTED_VALUE"""),0.0)</f>
        <v>0</v>
      </c>
    </row>
    <row r="2448">
      <c r="A2448" s="1">
        <f>IFERROR(__xludf.DUMMYFUNCTION("""COMPUTED_VALUE"""),805076.0)</f>
        <v>805076</v>
      </c>
      <c r="B2448" s="2">
        <f>IFERROR(__xludf.DUMMYFUNCTION("""COMPUTED_VALUE"""),42751.69856271898)</f>
        <v>42751.69856</v>
      </c>
      <c r="C2448" s="1" t="str">
        <f>IFERROR(__xludf.DUMMYFUNCTION("""COMPUTED_VALUE"""),"control")</f>
        <v>control</v>
      </c>
      <c r="D2448" s="1" t="str">
        <f>IFERROR(__xludf.DUMMYFUNCTION("""COMPUTED_VALUE"""),"old_page")</f>
        <v>old_page</v>
      </c>
      <c r="E2448" s="1">
        <f>IFERROR(__xludf.DUMMYFUNCTION("""COMPUTED_VALUE"""),0.0)</f>
        <v>0</v>
      </c>
    </row>
    <row r="2449">
      <c r="A2449" s="1">
        <f>IFERROR(__xludf.DUMMYFUNCTION("""COMPUTED_VALUE"""),714666.0)</f>
        <v>714666</v>
      </c>
      <c r="B2449" s="2">
        <f>IFERROR(__xludf.DUMMYFUNCTION("""COMPUTED_VALUE"""),42748.20431234836)</f>
        <v>42748.20431</v>
      </c>
      <c r="C2449" s="1" t="str">
        <f>IFERROR(__xludf.DUMMYFUNCTION("""COMPUTED_VALUE"""),"control")</f>
        <v>control</v>
      </c>
      <c r="D2449" s="1" t="str">
        <f>IFERROR(__xludf.DUMMYFUNCTION("""COMPUTED_VALUE"""),"old_page")</f>
        <v>old_page</v>
      </c>
      <c r="E2449" s="1">
        <f>IFERROR(__xludf.DUMMYFUNCTION("""COMPUTED_VALUE"""),0.0)</f>
        <v>0</v>
      </c>
    </row>
    <row r="2450">
      <c r="A2450" s="1">
        <f>IFERROR(__xludf.DUMMYFUNCTION("""COMPUTED_VALUE"""),748024.0)</f>
        <v>748024</v>
      </c>
      <c r="B2450" s="2">
        <f>IFERROR(__xludf.DUMMYFUNCTION("""COMPUTED_VALUE"""),42755.169048206415)</f>
        <v>42755.16905</v>
      </c>
      <c r="C2450" s="1" t="str">
        <f>IFERROR(__xludf.DUMMYFUNCTION("""COMPUTED_VALUE"""),"control")</f>
        <v>control</v>
      </c>
      <c r="D2450" s="1" t="str">
        <f>IFERROR(__xludf.DUMMYFUNCTION("""COMPUTED_VALUE"""),"old_page")</f>
        <v>old_page</v>
      </c>
      <c r="E2450" s="1">
        <f>IFERROR(__xludf.DUMMYFUNCTION("""COMPUTED_VALUE"""),1.0)</f>
        <v>1</v>
      </c>
    </row>
    <row r="2451">
      <c r="A2451" s="1">
        <f>IFERROR(__xludf.DUMMYFUNCTION("""COMPUTED_VALUE"""),758852.0)</f>
        <v>758852</v>
      </c>
      <c r="B2451" s="2">
        <f>IFERROR(__xludf.DUMMYFUNCTION("""COMPUTED_VALUE"""),42741.97066441049)</f>
        <v>42741.97066</v>
      </c>
      <c r="C2451" s="1" t="str">
        <f>IFERROR(__xludf.DUMMYFUNCTION("""COMPUTED_VALUE"""),"treatment")</f>
        <v>treatment</v>
      </c>
      <c r="D2451" s="1" t="str">
        <f>IFERROR(__xludf.DUMMYFUNCTION("""COMPUTED_VALUE"""),"new_page")</f>
        <v>new_page</v>
      </c>
      <c r="E2451" s="1">
        <f>IFERROR(__xludf.DUMMYFUNCTION("""COMPUTED_VALUE"""),0.0)</f>
        <v>0</v>
      </c>
    </row>
    <row r="2452">
      <c r="A2452" s="1">
        <f>IFERROR(__xludf.DUMMYFUNCTION("""COMPUTED_VALUE"""),938392.0)</f>
        <v>938392</v>
      </c>
      <c r="B2452" s="2">
        <f>IFERROR(__xludf.DUMMYFUNCTION("""COMPUTED_VALUE"""),42759.12055164725)</f>
        <v>42759.12055</v>
      </c>
      <c r="C2452" s="1" t="str">
        <f>IFERROR(__xludf.DUMMYFUNCTION("""COMPUTED_VALUE"""),"treatment")</f>
        <v>treatment</v>
      </c>
      <c r="D2452" s="1" t="str">
        <f>IFERROR(__xludf.DUMMYFUNCTION("""COMPUTED_VALUE"""),"new_page")</f>
        <v>new_page</v>
      </c>
      <c r="E2452" s="1">
        <f>IFERROR(__xludf.DUMMYFUNCTION("""COMPUTED_VALUE"""),0.0)</f>
        <v>0</v>
      </c>
    </row>
    <row r="2453">
      <c r="A2453" s="1">
        <f>IFERROR(__xludf.DUMMYFUNCTION("""COMPUTED_VALUE"""),688595.0)</f>
        <v>688595</v>
      </c>
      <c r="B2453" s="2">
        <f>IFERROR(__xludf.DUMMYFUNCTION("""COMPUTED_VALUE"""),42754.045983254575)</f>
        <v>42754.04598</v>
      </c>
      <c r="C2453" s="1" t="str">
        <f>IFERROR(__xludf.DUMMYFUNCTION("""COMPUTED_VALUE"""),"control")</f>
        <v>control</v>
      </c>
      <c r="D2453" s="1" t="str">
        <f>IFERROR(__xludf.DUMMYFUNCTION("""COMPUTED_VALUE"""),"old_page")</f>
        <v>old_page</v>
      </c>
      <c r="E2453" s="1">
        <f>IFERROR(__xludf.DUMMYFUNCTION("""COMPUTED_VALUE"""),0.0)</f>
        <v>0</v>
      </c>
    </row>
    <row r="2454">
      <c r="A2454" s="1">
        <f>IFERROR(__xludf.DUMMYFUNCTION("""COMPUTED_VALUE"""),895220.0)</f>
        <v>895220</v>
      </c>
      <c r="B2454" s="2">
        <f>IFERROR(__xludf.DUMMYFUNCTION("""COMPUTED_VALUE"""),42758.873333511285)</f>
        <v>42758.87333</v>
      </c>
      <c r="C2454" s="1" t="str">
        <f>IFERROR(__xludf.DUMMYFUNCTION("""COMPUTED_VALUE"""),"treatment")</f>
        <v>treatment</v>
      </c>
      <c r="D2454" s="1" t="str">
        <f>IFERROR(__xludf.DUMMYFUNCTION("""COMPUTED_VALUE"""),"new_page")</f>
        <v>new_page</v>
      </c>
      <c r="E2454" s="1">
        <f>IFERROR(__xludf.DUMMYFUNCTION("""COMPUTED_VALUE"""),0.0)</f>
        <v>0</v>
      </c>
    </row>
    <row r="2455">
      <c r="A2455" s="1">
        <f>IFERROR(__xludf.DUMMYFUNCTION("""COMPUTED_VALUE"""),927755.0)</f>
        <v>927755</v>
      </c>
      <c r="B2455" s="2">
        <f>IFERROR(__xludf.DUMMYFUNCTION("""COMPUTED_VALUE"""),42757.6391358235)</f>
        <v>42757.63914</v>
      </c>
      <c r="C2455" s="1" t="str">
        <f>IFERROR(__xludf.DUMMYFUNCTION("""COMPUTED_VALUE"""),"control")</f>
        <v>control</v>
      </c>
      <c r="D2455" s="1" t="str">
        <f>IFERROR(__xludf.DUMMYFUNCTION("""COMPUTED_VALUE"""),"old_page")</f>
        <v>old_page</v>
      </c>
      <c r="E2455" s="1">
        <f>IFERROR(__xludf.DUMMYFUNCTION("""COMPUTED_VALUE"""),0.0)</f>
        <v>0</v>
      </c>
    </row>
    <row r="2456">
      <c r="A2456" s="1">
        <f>IFERROR(__xludf.DUMMYFUNCTION("""COMPUTED_VALUE"""),739727.0)</f>
        <v>739727</v>
      </c>
      <c r="B2456" s="2">
        <f>IFERROR(__xludf.DUMMYFUNCTION("""COMPUTED_VALUE"""),42745.51510231074)</f>
        <v>42745.5151</v>
      </c>
      <c r="C2456" s="1" t="str">
        <f>IFERROR(__xludf.DUMMYFUNCTION("""COMPUTED_VALUE"""),"control")</f>
        <v>control</v>
      </c>
      <c r="D2456" s="1" t="str">
        <f>IFERROR(__xludf.DUMMYFUNCTION("""COMPUTED_VALUE"""),"old_page")</f>
        <v>old_page</v>
      </c>
      <c r="E2456" s="1">
        <f>IFERROR(__xludf.DUMMYFUNCTION("""COMPUTED_VALUE"""),0.0)</f>
        <v>0</v>
      </c>
    </row>
    <row r="2457">
      <c r="A2457" s="1">
        <f>IFERROR(__xludf.DUMMYFUNCTION("""COMPUTED_VALUE"""),852211.0)</f>
        <v>852211</v>
      </c>
      <c r="B2457" s="2">
        <f>IFERROR(__xludf.DUMMYFUNCTION("""COMPUTED_VALUE"""),42741.58531270097)</f>
        <v>42741.58531</v>
      </c>
      <c r="C2457" s="1" t="str">
        <f>IFERROR(__xludf.DUMMYFUNCTION("""COMPUTED_VALUE"""),"control")</f>
        <v>control</v>
      </c>
      <c r="D2457" s="1" t="str">
        <f>IFERROR(__xludf.DUMMYFUNCTION("""COMPUTED_VALUE"""),"old_page")</f>
        <v>old_page</v>
      </c>
      <c r="E2457" s="1">
        <f>IFERROR(__xludf.DUMMYFUNCTION("""COMPUTED_VALUE"""),0.0)</f>
        <v>0</v>
      </c>
    </row>
    <row r="2458">
      <c r="A2458" s="1">
        <f>IFERROR(__xludf.DUMMYFUNCTION("""COMPUTED_VALUE"""),638789.0)</f>
        <v>638789</v>
      </c>
      <c r="B2458" s="2">
        <f>IFERROR(__xludf.DUMMYFUNCTION("""COMPUTED_VALUE"""),42749.87241455725)</f>
        <v>42749.87241</v>
      </c>
      <c r="C2458" s="1" t="str">
        <f>IFERROR(__xludf.DUMMYFUNCTION("""COMPUTED_VALUE"""),"control")</f>
        <v>control</v>
      </c>
      <c r="D2458" s="1" t="str">
        <f>IFERROR(__xludf.DUMMYFUNCTION("""COMPUTED_VALUE"""),"old_page")</f>
        <v>old_page</v>
      </c>
      <c r="E2458" s="1">
        <f>IFERROR(__xludf.DUMMYFUNCTION("""COMPUTED_VALUE"""),0.0)</f>
        <v>0</v>
      </c>
    </row>
    <row r="2459">
      <c r="A2459" s="1">
        <f>IFERROR(__xludf.DUMMYFUNCTION("""COMPUTED_VALUE"""),911609.0)</f>
        <v>911609</v>
      </c>
      <c r="B2459" s="2">
        <f>IFERROR(__xludf.DUMMYFUNCTION("""COMPUTED_VALUE"""),42754.37536436776)</f>
        <v>42754.37536</v>
      </c>
      <c r="C2459" s="1" t="str">
        <f>IFERROR(__xludf.DUMMYFUNCTION("""COMPUTED_VALUE"""),"control")</f>
        <v>control</v>
      </c>
      <c r="D2459" s="1" t="str">
        <f>IFERROR(__xludf.DUMMYFUNCTION("""COMPUTED_VALUE"""),"old_page")</f>
        <v>old_page</v>
      </c>
      <c r="E2459" s="1">
        <f>IFERROR(__xludf.DUMMYFUNCTION("""COMPUTED_VALUE"""),0.0)</f>
        <v>0</v>
      </c>
    </row>
    <row r="2460">
      <c r="A2460" s="1">
        <f>IFERROR(__xludf.DUMMYFUNCTION("""COMPUTED_VALUE"""),752621.0)</f>
        <v>752621</v>
      </c>
      <c r="B2460" s="2">
        <f>IFERROR(__xludf.DUMMYFUNCTION("""COMPUTED_VALUE"""),42757.582073240774)</f>
        <v>42757.58207</v>
      </c>
      <c r="C2460" s="1" t="str">
        <f>IFERROR(__xludf.DUMMYFUNCTION("""COMPUTED_VALUE"""),"control")</f>
        <v>control</v>
      </c>
      <c r="D2460" s="1" t="str">
        <f>IFERROR(__xludf.DUMMYFUNCTION("""COMPUTED_VALUE"""),"old_page")</f>
        <v>old_page</v>
      </c>
      <c r="E2460" s="1">
        <f>IFERROR(__xludf.DUMMYFUNCTION("""COMPUTED_VALUE"""),0.0)</f>
        <v>0</v>
      </c>
    </row>
    <row r="2461">
      <c r="A2461" s="1">
        <f>IFERROR(__xludf.DUMMYFUNCTION("""COMPUTED_VALUE"""),671868.0)</f>
        <v>671868</v>
      </c>
      <c r="B2461" s="2">
        <f>IFERROR(__xludf.DUMMYFUNCTION("""COMPUTED_VALUE"""),42745.54911937741)</f>
        <v>42745.54912</v>
      </c>
      <c r="C2461" s="1" t="str">
        <f>IFERROR(__xludf.DUMMYFUNCTION("""COMPUTED_VALUE"""),"treatment")</f>
        <v>treatment</v>
      </c>
      <c r="D2461" s="1" t="str">
        <f>IFERROR(__xludf.DUMMYFUNCTION("""COMPUTED_VALUE"""),"new_page")</f>
        <v>new_page</v>
      </c>
      <c r="E2461" s="1">
        <f>IFERROR(__xludf.DUMMYFUNCTION("""COMPUTED_VALUE"""),0.0)</f>
        <v>0</v>
      </c>
    </row>
    <row r="2462">
      <c r="A2462" s="1">
        <f>IFERROR(__xludf.DUMMYFUNCTION("""COMPUTED_VALUE"""),649565.0)</f>
        <v>649565</v>
      </c>
      <c r="B2462" s="2">
        <f>IFERROR(__xludf.DUMMYFUNCTION("""COMPUTED_VALUE"""),42752.18413255735)</f>
        <v>42752.18413</v>
      </c>
      <c r="C2462" s="1" t="str">
        <f>IFERROR(__xludf.DUMMYFUNCTION("""COMPUTED_VALUE"""),"treatment")</f>
        <v>treatment</v>
      </c>
      <c r="D2462" s="1" t="str">
        <f>IFERROR(__xludf.DUMMYFUNCTION("""COMPUTED_VALUE"""),"new_page")</f>
        <v>new_page</v>
      </c>
      <c r="E2462" s="1">
        <f>IFERROR(__xludf.DUMMYFUNCTION("""COMPUTED_VALUE"""),0.0)</f>
        <v>0</v>
      </c>
    </row>
    <row r="2463">
      <c r="A2463" s="1">
        <f>IFERROR(__xludf.DUMMYFUNCTION("""COMPUTED_VALUE"""),655708.0)</f>
        <v>655708</v>
      </c>
      <c r="B2463" s="2">
        <f>IFERROR(__xludf.DUMMYFUNCTION("""COMPUTED_VALUE"""),42745.30816473088)</f>
        <v>42745.30816</v>
      </c>
      <c r="C2463" s="1" t="str">
        <f>IFERROR(__xludf.DUMMYFUNCTION("""COMPUTED_VALUE"""),"control")</f>
        <v>control</v>
      </c>
      <c r="D2463" s="1" t="str">
        <f>IFERROR(__xludf.DUMMYFUNCTION("""COMPUTED_VALUE"""),"old_page")</f>
        <v>old_page</v>
      </c>
      <c r="E2463" s="1">
        <f>IFERROR(__xludf.DUMMYFUNCTION("""COMPUTED_VALUE"""),0.0)</f>
        <v>0</v>
      </c>
    </row>
    <row r="2464">
      <c r="A2464" s="1">
        <f>IFERROR(__xludf.DUMMYFUNCTION("""COMPUTED_VALUE"""),707662.0)</f>
        <v>707662</v>
      </c>
      <c r="B2464" s="2">
        <f>IFERROR(__xludf.DUMMYFUNCTION("""COMPUTED_VALUE"""),42753.36660327687)</f>
        <v>42753.3666</v>
      </c>
      <c r="C2464" s="1" t="str">
        <f>IFERROR(__xludf.DUMMYFUNCTION("""COMPUTED_VALUE"""),"treatment")</f>
        <v>treatment</v>
      </c>
      <c r="D2464" s="1" t="str">
        <f>IFERROR(__xludf.DUMMYFUNCTION("""COMPUTED_VALUE"""),"new_page")</f>
        <v>new_page</v>
      </c>
      <c r="E2464" s="1">
        <f>IFERROR(__xludf.DUMMYFUNCTION("""COMPUTED_VALUE"""),1.0)</f>
        <v>1</v>
      </c>
    </row>
    <row r="2465">
      <c r="A2465" s="1">
        <f>IFERROR(__xludf.DUMMYFUNCTION("""COMPUTED_VALUE"""),753113.0)</f>
        <v>753113</v>
      </c>
      <c r="B2465" s="2">
        <f>IFERROR(__xludf.DUMMYFUNCTION("""COMPUTED_VALUE"""),42751.163760986594)</f>
        <v>42751.16376</v>
      </c>
      <c r="C2465" s="1" t="str">
        <f>IFERROR(__xludf.DUMMYFUNCTION("""COMPUTED_VALUE"""),"control")</f>
        <v>control</v>
      </c>
      <c r="D2465" s="1" t="str">
        <f>IFERROR(__xludf.DUMMYFUNCTION("""COMPUTED_VALUE"""),"old_page")</f>
        <v>old_page</v>
      </c>
      <c r="E2465" s="1">
        <f>IFERROR(__xludf.DUMMYFUNCTION("""COMPUTED_VALUE"""),1.0)</f>
        <v>1</v>
      </c>
    </row>
    <row r="2466">
      <c r="A2466" s="1">
        <f>IFERROR(__xludf.DUMMYFUNCTION("""COMPUTED_VALUE"""),756322.0)</f>
        <v>756322</v>
      </c>
      <c r="B2466" s="2">
        <f>IFERROR(__xludf.DUMMYFUNCTION("""COMPUTED_VALUE"""),42739.777626889256)</f>
        <v>42739.77763</v>
      </c>
      <c r="C2466" s="1" t="str">
        <f>IFERROR(__xludf.DUMMYFUNCTION("""COMPUTED_VALUE"""),"treatment")</f>
        <v>treatment</v>
      </c>
      <c r="D2466" s="1" t="str">
        <f>IFERROR(__xludf.DUMMYFUNCTION("""COMPUTED_VALUE"""),"new_page")</f>
        <v>new_page</v>
      </c>
      <c r="E2466" s="1">
        <f>IFERROR(__xludf.DUMMYFUNCTION("""COMPUTED_VALUE"""),0.0)</f>
        <v>0</v>
      </c>
    </row>
    <row r="2467">
      <c r="A2467" s="1">
        <f>IFERROR(__xludf.DUMMYFUNCTION("""COMPUTED_VALUE"""),880950.0)</f>
        <v>880950</v>
      </c>
      <c r="B2467" s="2">
        <f>IFERROR(__xludf.DUMMYFUNCTION("""COMPUTED_VALUE"""),42759.10590550396)</f>
        <v>42759.10591</v>
      </c>
      <c r="C2467" s="1" t="str">
        <f>IFERROR(__xludf.DUMMYFUNCTION("""COMPUTED_VALUE"""),"control")</f>
        <v>control</v>
      </c>
      <c r="D2467" s="1" t="str">
        <f>IFERROR(__xludf.DUMMYFUNCTION("""COMPUTED_VALUE"""),"old_page")</f>
        <v>old_page</v>
      </c>
      <c r="E2467" s="1">
        <f>IFERROR(__xludf.DUMMYFUNCTION("""COMPUTED_VALUE"""),0.0)</f>
        <v>0</v>
      </c>
    </row>
    <row r="2468">
      <c r="A2468" s="1">
        <f>IFERROR(__xludf.DUMMYFUNCTION("""COMPUTED_VALUE"""),866695.0)</f>
        <v>866695</v>
      </c>
      <c r="B2468" s="2">
        <f>IFERROR(__xludf.DUMMYFUNCTION("""COMPUTED_VALUE"""),42740.23899187909)</f>
        <v>42740.23899</v>
      </c>
      <c r="C2468" s="1" t="str">
        <f>IFERROR(__xludf.DUMMYFUNCTION("""COMPUTED_VALUE"""),"control")</f>
        <v>control</v>
      </c>
      <c r="D2468" s="1" t="str">
        <f>IFERROR(__xludf.DUMMYFUNCTION("""COMPUTED_VALUE"""),"old_page")</f>
        <v>old_page</v>
      </c>
      <c r="E2468" s="1">
        <f>IFERROR(__xludf.DUMMYFUNCTION("""COMPUTED_VALUE"""),0.0)</f>
        <v>0</v>
      </c>
    </row>
    <row r="2469">
      <c r="A2469" s="1">
        <f>IFERROR(__xludf.DUMMYFUNCTION("""COMPUTED_VALUE"""),940952.0)</f>
        <v>940952</v>
      </c>
      <c r="B2469" s="2">
        <f>IFERROR(__xludf.DUMMYFUNCTION("""COMPUTED_VALUE"""),42739.2160927637)</f>
        <v>42739.21609</v>
      </c>
      <c r="C2469" s="1" t="str">
        <f>IFERROR(__xludf.DUMMYFUNCTION("""COMPUTED_VALUE"""),"treatment")</f>
        <v>treatment</v>
      </c>
      <c r="D2469" s="1" t="str">
        <f>IFERROR(__xludf.DUMMYFUNCTION("""COMPUTED_VALUE"""),"new_page")</f>
        <v>new_page</v>
      </c>
      <c r="E2469" s="1">
        <f>IFERROR(__xludf.DUMMYFUNCTION("""COMPUTED_VALUE"""),0.0)</f>
        <v>0</v>
      </c>
    </row>
    <row r="2470">
      <c r="A2470" s="1">
        <f>IFERROR(__xludf.DUMMYFUNCTION("""COMPUTED_VALUE"""),637837.0)</f>
        <v>637837</v>
      </c>
      <c r="B2470" s="2">
        <f>IFERROR(__xludf.DUMMYFUNCTION("""COMPUTED_VALUE"""),42749.07922580261)</f>
        <v>42749.07923</v>
      </c>
      <c r="C2470" s="1" t="str">
        <f>IFERROR(__xludf.DUMMYFUNCTION("""COMPUTED_VALUE"""),"control")</f>
        <v>control</v>
      </c>
      <c r="D2470" s="1" t="str">
        <f>IFERROR(__xludf.DUMMYFUNCTION("""COMPUTED_VALUE"""),"old_page")</f>
        <v>old_page</v>
      </c>
      <c r="E2470" s="1">
        <f>IFERROR(__xludf.DUMMYFUNCTION("""COMPUTED_VALUE"""),0.0)</f>
        <v>0</v>
      </c>
    </row>
    <row r="2471">
      <c r="A2471" s="1">
        <f>IFERROR(__xludf.DUMMYFUNCTION("""COMPUTED_VALUE"""),772770.0)</f>
        <v>772770</v>
      </c>
      <c r="B2471" s="2">
        <f>IFERROR(__xludf.DUMMYFUNCTION("""COMPUTED_VALUE"""),42755.58063429252)</f>
        <v>42755.58063</v>
      </c>
      <c r="C2471" s="1" t="str">
        <f>IFERROR(__xludf.DUMMYFUNCTION("""COMPUTED_VALUE"""),"treatment")</f>
        <v>treatment</v>
      </c>
      <c r="D2471" s="1" t="str">
        <f>IFERROR(__xludf.DUMMYFUNCTION("""COMPUTED_VALUE"""),"new_page")</f>
        <v>new_page</v>
      </c>
      <c r="E2471" s="1">
        <f>IFERROR(__xludf.DUMMYFUNCTION("""COMPUTED_VALUE"""),0.0)</f>
        <v>0</v>
      </c>
    </row>
    <row r="2472">
      <c r="A2472" s="1">
        <f>IFERROR(__xludf.DUMMYFUNCTION("""COMPUTED_VALUE"""),710107.0)</f>
        <v>710107</v>
      </c>
      <c r="B2472" s="2">
        <f>IFERROR(__xludf.DUMMYFUNCTION("""COMPUTED_VALUE"""),42758.691180414666)</f>
        <v>42758.69118</v>
      </c>
      <c r="C2472" s="1" t="str">
        <f>IFERROR(__xludf.DUMMYFUNCTION("""COMPUTED_VALUE"""),"treatment")</f>
        <v>treatment</v>
      </c>
      <c r="D2472" s="1" t="str">
        <f>IFERROR(__xludf.DUMMYFUNCTION("""COMPUTED_VALUE"""),"new_page")</f>
        <v>new_page</v>
      </c>
      <c r="E2472" s="1">
        <f>IFERROR(__xludf.DUMMYFUNCTION("""COMPUTED_VALUE"""),0.0)</f>
        <v>0</v>
      </c>
    </row>
    <row r="2473">
      <c r="A2473" s="1">
        <f>IFERROR(__xludf.DUMMYFUNCTION("""COMPUTED_VALUE"""),835029.0)</f>
        <v>835029</v>
      </c>
      <c r="B2473" s="2">
        <f>IFERROR(__xludf.DUMMYFUNCTION("""COMPUTED_VALUE"""),42738.03948832997)</f>
        <v>42738.03949</v>
      </c>
      <c r="C2473" s="1" t="str">
        <f>IFERROR(__xludf.DUMMYFUNCTION("""COMPUTED_VALUE"""),"treatment")</f>
        <v>treatment</v>
      </c>
      <c r="D2473" s="1" t="str">
        <f>IFERROR(__xludf.DUMMYFUNCTION("""COMPUTED_VALUE"""),"new_page")</f>
        <v>new_page</v>
      </c>
      <c r="E2473" s="1">
        <f>IFERROR(__xludf.DUMMYFUNCTION("""COMPUTED_VALUE"""),0.0)</f>
        <v>0</v>
      </c>
    </row>
    <row r="2474">
      <c r="A2474" s="1">
        <f>IFERROR(__xludf.DUMMYFUNCTION("""COMPUTED_VALUE"""),797706.0)</f>
        <v>797706</v>
      </c>
      <c r="B2474" s="2">
        <f>IFERROR(__xludf.DUMMYFUNCTION("""COMPUTED_VALUE"""),42740.21193938281)</f>
        <v>42740.21194</v>
      </c>
      <c r="C2474" s="1" t="str">
        <f>IFERROR(__xludf.DUMMYFUNCTION("""COMPUTED_VALUE"""),"control")</f>
        <v>control</v>
      </c>
      <c r="D2474" s="1" t="str">
        <f>IFERROR(__xludf.DUMMYFUNCTION("""COMPUTED_VALUE"""),"old_page")</f>
        <v>old_page</v>
      </c>
      <c r="E2474" s="1">
        <f>IFERROR(__xludf.DUMMYFUNCTION("""COMPUTED_VALUE"""),0.0)</f>
        <v>0</v>
      </c>
    </row>
    <row r="2475">
      <c r="A2475" s="1">
        <f>IFERROR(__xludf.DUMMYFUNCTION("""COMPUTED_VALUE"""),770772.0)</f>
        <v>770772</v>
      </c>
      <c r="B2475" s="2">
        <f>IFERROR(__xludf.DUMMYFUNCTION("""COMPUTED_VALUE"""),42740.94976451713)</f>
        <v>42740.94976</v>
      </c>
      <c r="C2475" s="1" t="str">
        <f>IFERROR(__xludf.DUMMYFUNCTION("""COMPUTED_VALUE"""),"control")</f>
        <v>control</v>
      </c>
      <c r="D2475" s="1" t="str">
        <f>IFERROR(__xludf.DUMMYFUNCTION("""COMPUTED_VALUE"""),"old_page")</f>
        <v>old_page</v>
      </c>
      <c r="E2475" s="1">
        <f>IFERROR(__xludf.DUMMYFUNCTION("""COMPUTED_VALUE"""),1.0)</f>
        <v>1</v>
      </c>
    </row>
    <row r="2476">
      <c r="A2476" s="1">
        <f>IFERROR(__xludf.DUMMYFUNCTION("""COMPUTED_VALUE"""),802510.0)</f>
        <v>802510</v>
      </c>
      <c r="B2476" s="2">
        <f>IFERROR(__xludf.DUMMYFUNCTION("""COMPUTED_VALUE"""),42748.65089343964)</f>
        <v>42748.65089</v>
      </c>
      <c r="C2476" s="1" t="str">
        <f>IFERROR(__xludf.DUMMYFUNCTION("""COMPUTED_VALUE"""),"treatment")</f>
        <v>treatment</v>
      </c>
      <c r="D2476" s="1" t="str">
        <f>IFERROR(__xludf.DUMMYFUNCTION("""COMPUTED_VALUE"""),"new_page")</f>
        <v>new_page</v>
      </c>
      <c r="E2476" s="1">
        <f>IFERROR(__xludf.DUMMYFUNCTION("""COMPUTED_VALUE"""),0.0)</f>
        <v>0</v>
      </c>
    </row>
    <row r="2477">
      <c r="A2477" s="1">
        <f>IFERROR(__xludf.DUMMYFUNCTION("""COMPUTED_VALUE"""),771846.0)</f>
        <v>771846</v>
      </c>
      <c r="B2477" s="2">
        <f>IFERROR(__xludf.DUMMYFUNCTION("""COMPUTED_VALUE"""),42738.2753579249)</f>
        <v>42738.27536</v>
      </c>
      <c r="C2477" s="1" t="str">
        <f>IFERROR(__xludf.DUMMYFUNCTION("""COMPUTED_VALUE"""),"control")</f>
        <v>control</v>
      </c>
      <c r="D2477" s="1" t="str">
        <f>IFERROR(__xludf.DUMMYFUNCTION("""COMPUTED_VALUE"""),"old_page")</f>
        <v>old_page</v>
      </c>
      <c r="E2477" s="1">
        <f>IFERROR(__xludf.DUMMYFUNCTION("""COMPUTED_VALUE"""),0.0)</f>
        <v>0</v>
      </c>
    </row>
    <row r="2478">
      <c r="A2478" s="1">
        <f>IFERROR(__xludf.DUMMYFUNCTION("""COMPUTED_VALUE"""),809685.0)</f>
        <v>809685</v>
      </c>
      <c r="B2478" s="2">
        <f>IFERROR(__xludf.DUMMYFUNCTION("""COMPUTED_VALUE"""),42756.88665334956)</f>
        <v>42756.88665</v>
      </c>
      <c r="C2478" s="1" t="str">
        <f>IFERROR(__xludf.DUMMYFUNCTION("""COMPUTED_VALUE"""),"control")</f>
        <v>control</v>
      </c>
      <c r="D2478" s="1" t="str">
        <f>IFERROR(__xludf.DUMMYFUNCTION("""COMPUTED_VALUE"""),"old_page")</f>
        <v>old_page</v>
      </c>
      <c r="E2478" s="1">
        <f>IFERROR(__xludf.DUMMYFUNCTION("""COMPUTED_VALUE"""),0.0)</f>
        <v>0</v>
      </c>
    </row>
    <row r="2479">
      <c r="A2479" s="1">
        <f>IFERROR(__xludf.DUMMYFUNCTION("""COMPUTED_VALUE"""),799679.0)</f>
        <v>799679</v>
      </c>
      <c r="B2479" s="2">
        <f>IFERROR(__xludf.DUMMYFUNCTION("""COMPUTED_VALUE"""),42754.58378609131)</f>
        <v>42754.58379</v>
      </c>
      <c r="C2479" s="1" t="str">
        <f>IFERROR(__xludf.DUMMYFUNCTION("""COMPUTED_VALUE"""),"treatment")</f>
        <v>treatment</v>
      </c>
      <c r="D2479" s="1" t="str">
        <f>IFERROR(__xludf.DUMMYFUNCTION("""COMPUTED_VALUE"""),"new_page")</f>
        <v>new_page</v>
      </c>
      <c r="E2479" s="1">
        <f>IFERROR(__xludf.DUMMYFUNCTION("""COMPUTED_VALUE"""),0.0)</f>
        <v>0</v>
      </c>
    </row>
    <row r="2480">
      <c r="A2480" s="1">
        <f>IFERROR(__xludf.DUMMYFUNCTION("""COMPUTED_VALUE"""),816687.0)</f>
        <v>816687</v>
      </c>
      <c r="B2480" s="2">
        <f>IFERROR(__xludf.DUMMYFUNCTION("""COMPUTED_VALUE"""),42739.36785192545)</f>
        <v>42739.36785</v>
      </c>
      <c r="C2480" s="1" t="str">
        <f>IFERROR(__xludf.DUMMYFUNCTION("""COMPUTED_VALUE"""),"control")</f>
        <v>control</v>
      </c>
      <c r="D2480" s="1" t="str">
        <f>IFERROR(__xludf.DUMMYFUNCTION("""COMPUTED_VALUE"""),"old_page")</f>
        <v>old_page</v>
      </c>
      <c r="E2480" s="1">
        <f>IFERROR(__xludf.DUMMYFUNCTION("""COMPUTED_VALUE"""),0.0)</f>
        <v>0</v>
      </c>
    </row>
    <row r="2481">
      <c r="A2481" s="1">
        <f>IFERROR(__xludf.DUMMYFUNCTION("""COMPUTED_VALUE"""),699748.0)</f>
        <v>699748</v>
      </c>
      <c r="B2481" s="2">
        <f>IFERROR(__xludf.DUMMYFUNCTION("""COMPUTED_VALUE"""),42742.34521106111)</f>
        <v>42742.34521</v>
      </c>
      <c r="C2481" s="1" t="str">
        <f>IFERROR(__xludf.DUMMYFUNCTION("""COMPUTED_VALUE"""),"control")</f>
        <v>control</v>
      </c>
      <c r="D2481" s="1" t="str">
        <f>IFERROR(__xludf.DUMMYFUNCTION("""COMPUTED_VALUE"""),"old_page")</f>
        <v>old_page</v>
      </c>
      <c r="E2481" s="1">
        <f>IFERROR(__xludf.DUMMYFUNCTION("""COMPUTED_VALUE"""),0.0)</f>
        <v>0</v>
      </c>
    </row>
    <row r="2482">
      <c r="A2482" s="1">
        <f>IFERROR(__xludf.DUMMYFUNCTION("""COMPUTED_VALUE"""),718247.0)</f>
        <v>718247</v>
      </c>
      <c r="B2482" s="2">
        <f>IFERROR(__xludf.DUMMYFUNCTION("""COMPUTED_VALUE"""),42757.02360833591)</f>
        <v>42757.02361</v>
      </c>
      <c r="C2482" s="1" t="str">
        <f>IFERROR(__xludf.DUMMYFUNCTION("""COMPUTED_VALUE"""),"treatment")</f>
        <v>treatment</v>
      </c>
      <c r="D2482" s="1" t="str">
        <f>IFERROR(__xludf.DUMMYFUNCTION("""COMPUTED_VALUE"""),"new_page")</f>
        <v>new_page</v>
      </c>
      <c r="E2482" s="1">
        <f>IFERROR(__xludf.DUMMYFUNCTION("""COMPUTED_VALUE"""),0.0)</f>
        <v>0</v>
      </c>
    </row>
    <row r="2483">
      <c r="A2483" s="1">
        <f>IFERROR(__xludf.DUMMYFUNCTION("""COMPUTED_VALUE"""),868918.0)</f>
        <v>868918</v>
      </c>
      <c r="B2483" s="2">
        <f>IFERROR(__xludf.DUMMYFUNCTION("""COMPUTED_VALUE"""),42744.07933154801)</f>
        <v>42744.07933</v>
      </c>
      <c r="C2483" s="1" t="str">
        <f>IFERROR(__xludf.DUMMYFUNCTION("""COMPUTED_VALUE"""),"treatment")</f>
        <v>treatment</v>
      </c>
      <c r="D2483" s="1" t="str">
        <f>IFERROR(__xludf.DUMMYFUNCTION("""COMPUTED_VALUE"""),"new_page")</f>
        <v>new_page</v>
      </c>
      <c r="E2483" s="1">
        <f>IFERROR(__xludf.DUMMYFUNCTION("""COMPUTED_VALUE"""),0.0)</f>
        <v>0</v>
      </c>
    </row>
    <row r="2484">
      <c r="A2484" s="1">
        <f>IFERROR(__xludf.DUMMYFUNCTION("""COMPUTED_VALUE"""),701161.0)</f>
        <v>701161</v>
      </c>
      <c r="B2484" s="2">
        <f>IFERROR(__xludf.DUMMYFUNCTION("""COMPUTED_VALUE"""),42758.18241178869)</f>
        <v>42758.18241</v>
      </c>
      <c r="C2484" s="1" t="str">
        <f>IFERROR(__xludf.DUMMYFUNCTION("""COMPUTED_VALUE"""),"control")</f>
        <v>control</v>
      </c>
      <c r="D2484" s="1" t="str">
        <f>IFERROR(__xludf.DUMMYFUNCTION("""COMPUTED_VALUE"""),"old_page")</f>
        <v>old_page</v>
      </c>
      <c r="E2484" s="1">
        <f>IFERROR(__xludf.DUMMYFUNCTION("""COMPUTED_VALUE"""),0.0)</f>
        <v>0</v>
      </c>
    </row>
    <row r="2485">
      <c r="A2485" s="1">
        <f>IFERROR(__xludf.DUMMYFUNCTION("""COMPUTED_VALUE"""),736089.0)</f>
        <v>736089</v>
      </c>
      <c r="B2485" s="2">
        <f>IFERROR(__xludf.DUMMYFUNCTION("""COMPUTED_VALUE"""),42751.96437824869)</f>
        <v>42751.96438</v>
      </c>
      <c r="C2485" s="1" t="str">
        <f>IFERROR(__xludf.DUMMYFUNCTION("""COMPUTED_VALUE"""),"treatment")</f>
        <v>treatment</v>
      </c>
      <c r="D2485" s="1" t="str">
        <f>IFERROR(__xludf.DUMMYFUNCTION("""COMPUTED_VALUE"""),"new_page")</f>
        <v>new_page</v>
      </c>
      <c r="E2485" s="1">
        <f>IFERROR(__xludf.DUMMYFUNCTION("""COMPUTED_VALUE"""),0.0)</f>
        <v>0</v>
      </c>
    </row>
    <row r="2486">
      <c r="A2486" s="1">
        <f>IFERROR(__xludf.DUMMYFUNCTION("""COMPUTED_VALUE"""),914730.0)</f>
        <v>914730</v>
      </c>
      <c r="B2486" s="2">
        <f>IFERROR(__xludf.DUMMYFUNCTION("""COMPUTED_VALUE"""),42746.44571480471)</f>
        <v>42746.44571</v>
      </c>
      <c r="C2486" s="1" t="str">
        <f>IFERROR(__xludf.DUMMYFUNCTION("""COMPUTED_VALUE"""),"control")</f>
        <v>control</v>
      </c>
      <c r="D2486" s="1" t="str">
        <f>IFERROR(__xludf.DUMMYFUNCTION("""COMPUTED_VALUE"""),"old_page")</f>
        <v>old_page</v>
      </c>
      <c r="E2486" s="1">
        <f>IFERROR(__xludf.DUMMYFUNCTION("""COMPUTED_VALUE"""),0.0)</f>
        <v>0</v>
      </c>
    </row>
    <row r="2487">
      <c r="A2487" s="1">
        <f>IFERROR(__xludf.DUMMYFUNCTION("""COMPUTED_VALUE"""),752027.0)</f>
        <v>752027</v>
      </c>
      <c r="B2487" s="2">
        <f>IFERROR(__xludf.DUMMYFUNCTION("""COMPUTED_VALUE"""),42752.54810360963)</f>
        <v>42752.5481</v>
      </c>
      <c r="C2487" s="1" t="str">
        <f>IFERROR(__xludf.DUMMYFUNCTION("""COMPUTED_VALUE"""),"treatment")</f>
        <v>treatment</v>
      </c>
      <c r="D2487" s="1" t="str">
        <f>IFERROR(__xludf.DUMMYFUNCTION("""COMPUTED_VALUE"""),"new_page")</f>
        <v>new_page</v>
      </c>
      <c r="E2487" s="1">
        <f>IFERROR(__xludf.DUMMYFUNCTION("""COMPUTED_VALUE"""),0.0)</f>
        <v>0</v>
      </c>
    </row>
    <row r="2488">
      <c r="A2488" s="1">
        <f>IFERROR(__xludf.DUMMYFUNCTION("""COMPUTED_VALUE"""),927745.0)</f>
        <v>927745</v>
      </c>
      <c r="B2488" s="2">
        <f>IFERROR(__xludf.DUMMYFUNCTION("""COMPUTED_VALUE"""),42755.762936913736)</f>
        <v>42755.76294</v>
      </c>
      <c r="C2488" s="1" t="str">
        <f>IFERROR(__xludf.DUMMYFUNCTION("""COMPUTED_VALUE"""),"treatment")</f>
        <v>treatment</v>
      </c>
      <c r="D2488" s="1" t="str">
        <f>IFERROR(__xludf.DUMMYFUNCTION("""COMPUTED_VALUE"""),"new_page")</f>
        <v>new_page</v>
      </c>
      <c r="E2488" s="1">
        <f>IFERROR(__xludf.DUMMYFUNCTION("""COMPUTED_VALUE"""),0.0)</f>
        <v>0</v>
      </c>
    </row>
    <row r="2489">
      <c r="A2489" s="1">
        <f>IFERROR(__xludf.DUMMYFUNCTION("""COMPUTED_VALUE"""),645310.0)</f>
        <v>645310</v>
      </c>
      <c r="B2489" s="2">
        <f>IFERROR(__xludf.DUMMYFUNCTION("""COMPUTED_VALUE"""),42757.024467464944)</f>
        <v>42757.02447</v>
      </c>
      <c r="C2489" s="1" t="str">
        <f>IFERROR(__xludf.DUMMYFUNCTION("""COMPUTED_VALUE"""),"treatment")</f>
        <v>treatment</v>
      </c>
      <c r="D2489" s="1" t="str">
        <f>IFERROR(__xludf.DUMMYFUNCTION("""COMPUTED_VALUE"""),"new_page")</f>
        <v>new_page</v>
      </c>
      <c r="E2489" s="1">
        <f>IFERROR(__xludf.DUMMYFUNCTION("""COMPUTED_VALUE"""),0.0)</f>
        <v>0</v>
      </c>
    </row>
    <row r="2490">
      <c r="A2490" s="1">
        <f>IFERROR(__xludf.DUMMYFUNCTION("""COMPUTED_VALUE"""),945940.0)</f>
        <v>945940</v>
      </c>
      <c r="B2490" s="2">
        <f>IFERROR(__xludf.DUMMYFUNCTION("""COMPUTED_VALUE"""),42756.19340747395)</f>
        <v>42756.19341</v>
      </c>
      <c r="C2490" s="1" t="str">
        <f>IFERROR(__xludf.DUMMYFUNCTION("""COMPUTED_VALUE"""),"treatment")</f>
        <v>treatment</v>
      </c>
      <c r="D2490" s="1" t="str">
        <f>IFERROR(__xludf.DUMMYFUNCTION("""COMPUTED_VALUE"""),"new_page")</f>
        <v>new_page</v>
      </c>
      <c r="E2490" s="1">
        <f>IFERROR(__xludf.DUMMYFUNCTION("""COMPUTED_VALUE"""),0.0)</f>
        <v>0</v>
      </c>
    </row>
    <row r="2491">
      <c r="A2491" s="1">
        <f>IFERROR(__xludf.DUMMYFUNCTION("""COMPUTED_VALUE"""),676836.0)</f>
        <v>676836</v>
      </c>
      <c r="B2491" s="2">
        <f>IFERROR(__xludf.DUMMYFUNCTION("""COMPUTED_VALUE"""),42746.22273001748)</f>
        <v>42746.22273</v>
      </c>
      <c r="C2491" s="1" t="str">
        <f>IFERROR(__xludf.DUMMYFUNCTION("""COMPUTED_VALUE"""),"control")</f>
        <v>control</v>
      </c>
      <c r="D2491" s="1" t="str">
        <f>IFERROR(__xludf.DUMMYFUNCTION("""COMPUTED_VALUE"""),"old_page")</f>
        <v>old_page</v>
      </c>
      <c r="E2491" s="1">
        <f>IFERROR(__xludf.DUMMYFUNCTION("""COMPUTED_VALUE"""),0.0)</f>
        <v>0</v>
      </c>
    </row>
    <row r="2492">
      <c r="A2492" s="1">
        <f>IFERROR(__xludf.DUMMYFUNCTION("""COMPUTED_VALUE"""),807565.0)</f>
        <v>807565</v>
      </c>
      <c r="B2492" s="2">
        <f>IFERROR(__xludf.DUMMYFUNCTION("""COMPUTED_VALUE"""),42753.507937184455)</f>
        <v>42753.50794</v>
      </c>
      <c r="C2492" s="1" t="str">
        <f>IFERROR(__xludf.DUMMYFUNCTION("""COMPUTED_VALUE"""),"treatment")</f>
        <v>treatment</v>
      </c>
      <c r="D2492" s="1" t="str">
        <f>IFERROR(__xludf.DUMMYFUNCTION("""COMPUTED_VALUE"""),"new_page")</f>
        <v>new_page</v>
      </c>
      <c r="E2492" s="1">
        <f>IFERROR(__xludf.DUMMYFUNCTION("""COMPUTED_VALUE"""),0.0)</f>
        <v>0</v>
      </c>
    </row>
    <row r="2493">
      <c r="A2493" s="1">
        <f>IFERROR(__xludf.DUMMYFUNCTION("""COMPUTED_VALUE"""),789511.0)</f>
        <v>789511</v>
      </c>
      <c r="B2493" s="2">
        <f>IFERROR(__xludf.DUMMYFUNCTION("""COMPUTED_VALUE"""),42738.142003812456)</f>
        <v>42738.142</v>
      </c>
      <c r="C2493" s="1" t="str">
        <f>IFERROR(__xludf.DUMMYFUNCTION("""COMPUTED_VALUE"""),"control")</f>
        <v>control</v>
      </c>
      <c r="D2493" s="1" t="str">
        <f>IFERROR(__xludf.DUMMYFUNCTION("""COMPUTED_VALUE"""),"old_page")</f>
        <v>old_page</v>
      </c>
      <c r="E2493" s="1">
        <f>IFERROR(__xludf.DUMMYFUNCTION("""COMPUTED_VALUE"""),0.0)</f>
        <v>0</v>
      </c>
    </row>
    <row r="2494">
      <c r="A2494" s="1">
        <f>IFERROR(__xludf.DUMMYFUNCTION("""COMPUTED_VALUE"""),798061.0)</f>
        <v>798061</v>
      </c>
      <c r="B2494" s="2">
        <f>IFERROR(__xludf.DUMMYFUNCTION("""COMPUTED_VALUE"""),42751.87370106087)</f>
        <v>42751.8737</v>
      </c>
      <c r="C2494" s="1" t="str">
        <f>IFERROR(__xludf.DUMMYFUNCTION("""COMPUTED_VALUE"""),"control")</f>
        <v>control</v>
      </c>
      <c r="D2494" s="1" t="str">
        <f>IFERROR(__xludf.DUMMYFUNCTION("""COMPUTED_VALUE"""),"old_page")</f>
        <v>old_page</v>
      </c>
      <c r="E2494" s="1">
        <f>IFERROR(__xludf.DUMMYFUNCTION("""COMPUTED_VALUE"""),0.0)</f>
        <v>0</v>
      </c>
    </row>
    <row r="2495">
      <c r="A2495" s="1">
        <f>IFERROR(__xludf.DUMMYFUNCTION("""COMPUTED_VALUE"""),853164.0)</f>
        <v>853164</v>
      </c>
      <c r="B2495" s="2">
        <f>IFERROR(__xludf.DUMMYFUNCTION("""COMPUTED_VALUE"""),42757.61543574057)</f>
        <v>42757.61544</v>
      </c>
      <c r="C2495" s="1" t="str">
        <f>IFERROR(__xludf.DUMMYFUNCTION("""COMPUTED_VALUE"""),"treatment")</f>
        <v>treatment</v>
      </c>
      <c r="D2495" s="1" t="str">
        <f>IFERROR(__xludf.DUMMYFUNCTION("""COMPUTED_VALUE"""),"new_page")</f>
        <v>new_page</v>
      </c>
      <c r="E2495" s="1">
        <f>IFERROR(__xludf.DUMMYFUNCTION("""COMPUTED_VALUE"""),0.0)</f>
        <v>0</v>
      </c>
    </row>
    <row r="2496">
      <c r="A2496" s="1">
        <f>IFERROR(__xludf.DUMMYFUNCTION("""COMPUTED_VALUE"""),680162.0)</f>
        <v>680162</v>
      </c>
      <c r="B2496" s="2">
        <f>IFERROR(__xludf.DUMMYFUNCTION("""COMPUTED_VALUE"""),42744.2551182877)</f>
        <v>42744.25512</v>
      </c>
      <c r="C2496" s="1" t="str">
        <f>IFERROR(__xludf.DUMMYFUNCTION("""COMPUTED_VALUE"""),"control")</f>
        <v>control</v>
      </c>
      <c r="D2496" s="1" t="str">
        <f>IFERROR(__xludf.DUMMYFUNCTION("""COMPUTED_VALUE"""),"old_page")</f>
        <v>old_page</v>
      </c>
      <c r="E2496" s="1">
        <f>IFERROR(__xludf.DUMMYFUNCTION("""COMPUTED_VALUE"""),0.0)</f>
        <v>0</v>
      </c>
    </row>
    <row r="2497">
      <c r="A2497" s="1">
        <f>IFERROR(__xludf.DUMMYFUNCTION("""COMPUTED_VALUE"""),758354.0)</f>
        <v>758354</v>
      </c>
      <c r="B2497" s="2">
        <f>IFERROR(__xludf.DUMMYFUNCTION("""COMPUTED_VALUE"""),42749.09689510808)</f>
        <v>42749.0969</v>
      </c>
      <c r="C2497" s="1" t="str">
        <f>IFERROR(__xludf.DUMMYFUNCTION("""COMPUTED_VALUE"""),"control")</f>
        <v>control</v>
      </c>
      <c r="D2497" s="1" t="str">
        <f>IFERROR(__xludf.DUMMYFUNCTION("""COMPUTED_VALUE"""),"old_page")</f>
        <v>old_page</v>
      </c>
      <c r="E2497" s="1">
        <f>IFERROR(__xludf.DUMMYFUNCTION("""COMPUTED_VALUE"""),0.0)</f>
        <v>0</v>
      </c>
    </row>
    <row r="2498">
      <c r="A2498" s="1">
        <f>IFERROR(__xludf.DUMMYFUNCTION("""COMPUTED_VALUE"""),720216.0)</f>
        <v>720216</v>
      </c>
      <c r="B2498" s="2">
        <f>IFERROR(__xludf.DUMMYFUNCTION("""COMPUTED_VALUE"""),42748.84206358548)</f>
        <v>42748.84206</v>
      </c>
      <c r="C2498" s="1" t="str">
        <f>IFERROR(__xludf.DUMMYFUNCTION("""COMPUTED_VALUE"""),"control")</f>
        <v>control</v>
      </c>
      <c r="D2498" s="1" t="str">
        <f>IFERROR(__xludf.DUMMYFUNCTION("""COMPUTED_VALUE"""),"old_page")</f>
        <v>old_page</v>
      </c>
      <c r="E2498" s="1">
        <f>IFERROR(__xludf.DUMMYFUNCTION("""COMPUTED_VALUE"""),0.0)</f>
        <v>0</v>
      </c>
    </row>
    <row r="2499">
      <c r="A2499" s="1">
        <f>IFERROR(__xludf.DUMMYFUNCTION("""COMPUTED_VALUE"""),879814.0)</f>
        <v>879814</v>
      </c>
      <c r="B2499" s="2">
        <f>IFERROR(__xludf.DUMMYFUNCTION("""COMPUTED_VALUE"""),42738.70467893125)</f>
        <v>42738.70468</v>
      </c>
      <c r="C2499" s="1" t="str">
        <f>IFERROR(__xludf.DUMMYFUNCTION("""COMPUTED_VALUE"""),"treatment")</f>
        <v>treatment</v>
      </c>
      <c r="D2499" s="1" t="str">
        <f>IFERROR(__xludf.DUMMYFUNCTION("""COMPUTED_VALUE"""),"new_page")</f>
        <v>new_page</v>
      </c>
      <c r="E2499" s="1">
        <f>IFERROR(__xludf.DUMMYFUNCTION("""COMPUTED_VALUE"""),0.0)</f>
        <v>0</v>
      </c>
    </row>
    <row r="2500">
      <c r="A2500" s="1">
        <f>IFERROR(__xludf.DUMMYFUNCTION("""COMPUTED_VALUE"""),899308.0)</f>
        <v>899308</v>
      </c>
      <c r="B2500" s="2">
        <f>IFERROR(__xludf.DUMMYFUNCTION("""COMPUTED_VALUE"""),42741.38835180279)</f>
        <v>42741.38835</v>
      </c>
      <c r="C2500" s="1" t="str">
        <f>IFERROR(__xludf.DUMMYFUNCTION("""COMPUTED_VALUE"""),"treatment")</f>
        <v>treatment</v>
      </c>
      <c r="D2500" s="1" t="str">
        <f>IFERROR(__xludf.DUMMYFUNCTION("""COMPUTED_VALUE"""),"new_page")</f>
        <v>new_page</v>
      </c>
      <c r="E2500" s="1">
        <f>IFERROR(__xludf.DUMMYFUNCTION("""COMPUTED_VALUE"""),1.0)</f>
        <v>1</v>
      </c>
    </row>
    <row r="2501">
      <c r="A2501" s="1">
        <f>IFERROR(__xludf.DUMMYFUNCTION("""COMPUTED_VALUE"""),747701.0)</f>
        <v>747701</v>
      </c>
      <c r="B2501" s="2">
        <f>IFERROR(__xludf.DUMMYFUNCTION("""COMPUTED_VALUE"""),42752.90898569918)</f>
        <v>42752.90899</v>
      </c>
      <c r="C2501" s="1" t="str">
        <f>IFERROR(__xludf.DUMMYFUNCTION("""COMPUTED_VALUE"""),"control")</f>
        <v>control</v>
      </c>
      <c r="D2501" s="1" t="str">
        <f>IFERROR(__xludf.DUMMYFUNCTION("""COMPUTED_VALUE"""),"old_page")</f>
        <v>old_page</v>
      </c>
      <c r="E2501" s="1">
        <f>IFERROR(__xludf.DUMMYFUNCTION("""COMPUTED_VALUE"""),0.0)</f>
        <v>0</v>
      </c>
    </row>
    <row r="2502">
      <c r="A2502" s="1">
        <f>IFERROR(__xludf.DUMMYFUNCTION("""COMPUTED_VALUE"""),942099.0)</f>
        <v>942099</v>
      </c>
      <c r="B2502" s="2">
        <f>IFERROR(__xludf.DUMMYFUNCTION("""COMPUTED_VALUE"""),42757.890530224)</f>
        <v>42757.89053</v>
      </c>
      <c r="C2502" s="1" t="str">
        <f>IFERROR(__xludf.DUMMYFUNCTION("""COMPUTED_VALUE"""),"treatment")</f>
        <v>treatment</v>
      </c>
      <c r="D2502" s="1" t="str">
        <f>IFERROR(__xludf.DUMMYFUNCTION("""COMPUTED_VALUE"""),"new_page")</f>
        <v>new_page</v>
      </c>
      <c r="E2502" s="1">
        <f>IFERROR(__xludf.DUMMYFUNCTION("""COMPUTED_VALUE"""),0.0)</f>
        <v>0</v>
      </c>
    </row>
    <row r="2503">
      <c r="A2503" s="1">
        <f>IFERROR(__xludf.DUMMYFUNCTION("""COMPUTED_VALUE"""),728118.0)</f>
        <v>728118</v>
      </c>
      <c r="B2503" s="2">
        <f>IFERROR(__xludf.DUMMYFUNCTION("""COMPUTED_VALUE"""),42754.34970916825)</f>
        <v>42754.34971</v>
      </c>
      <c r="C2503" s="1" t="str">
        <f>IFERROR(__xludf.DUMMYFUNCTION("""COMPUTED_VALUE"""),"control")</f>
        <v>control</v>
      </c>
      <c r="D2503" s="1" t="str">
        <f>IFERROR(__xludf.DUMMYFUNCTION("""COMPUTED_VALUE"""),"old_page")</f>
        <v>old_page</v>
      </c>
      <c r="E2503" s="1">
        <f>IFERROR(__xludf.DUMMYFUNCTION("""COMPUTED_VALUE"""),0.0)</f>
        <v>0</v>
      </c>
    </row>
    <row r="2504">
      <c r="A2504" s="1">
        <f>IFERROR(__xludf.DUMMYFUNCTION("""COMPUTED_VALUE"""),723513.0)</f>
        <v>723513</v>
      </c>
      <c r="B2504" s="2">
        <f>IFERROR(__xludf.DUMMYFUNCTION("""COMPUTED_VALUE"""),42757.582755140866)</f>
        <v>42757.58276</v>
      </c>
      <c r="C2504" s="1" t="str">
        <f>IFERROR(__xludf.DUMMYFUNCTION("""COMPUTED_VALUE"""),"control")</f>
        <v>control</v>
      </c>
      <c r="D2504" s="1" t="str">
        <f>IFERROR(__xludf.DUMMYFUNCTION("""COMPUTED_VALUE"""),"old_page")</f>
        <v>old_page</v>
      </c>
      <c r="E2504" s="1">
        <f>IFERROR(__xludf.DUMMYFUNCTION("""COMPUTED_VALUE"""),0.0)</f>
        <v>0</v>
      </c>
    </row>
    <row r="2505">
      <c r="A2505" s="1">
        <f>IFERROR(__xludf.DUMMYFUNCTION("""COMPUTED_VALUE"""),741044.0)</f>
        <v>741044</v>
      </c>
      <c r="B2505" s="2">
        <f>IFERROR(__xludf.DUMMYFUNCTION("""COMPUTED_VALUE"""),42756.890711075575)</f>
        <v>42756.89071</v>
      </c>
      <c r="C2505" s="1" t="str">
        <f>IFERROR(__xludf.DUMMYFUNCTION("""COMPUTED_VALUE"""),"control")</f>
        <v>control</v>
      </c>
      <c r="D2505" s="1" t="str">
        <f>IFERROR(__xludf.DUMMYFUNCTION("""COMPUTED_VALUE"""),"old_page")</f>
        <v>old_page</v>
      </c>
      <c r="E2505" s="1">
        <f>IFERROR(__xludf.DUMMYFUNCTION("""COMPUTED_VALUE"""),0.0)</f>
        <v>0</v>
      </c>
    </row>
    <row r="2506">
      <c r="A2506" s="1">
        <f>IFERROR(__xludf.DUMMYFUNCTION("""COMPUTED_VALUE"""),852521.0)</f>
        <v>852521</v>
      </c>
      <c r="B2506" s="2">
        <f>IFERROR(__xludf.DUMMYFUNCTION("""COMPUTED_VALUE"""),42745.753366540055)</f>
        <v>42745.75337</v>
      </c>
      <c r="C2506" s="1" t="str">
        <f>IFERROR(__xludf.DUMMYFUNCTION("""COMPUTED_VALUE"""),"treatment")</f>
        <v>treatment</v>
      </c>
      <c r="D2506" s="1" t="str">
        <f>IFERROR(__xludf.DUMMYFUNCTION("""COMPUTED_VALUE"""),"new_page")</f>
        <v>new_page</v>
      </c>
      <c r="E2506" s="1">
        <f>IFERROR(__xludf.DUMMYFUNCTION("""COMPUTED_VALUE"""),0.0)</f>
        <v>0</v>
      </c>
    </row>
    <row r="2507">
      <c r="A2507" s="1">
        <f>IFERROR(__xludf.DUMMYFUNCTION("""COMPUTED_VALUE"""),852046.0)</f>
        <v>852046</v>
      </c>
      <c r="B2507" s="2">
        <f>IFERROR(__xludf.DUMMYFUNCTION("""COMPUTED_VALUE"""),42751.93918795181)</f>
        <v>42751.93919</v>
      </c>
      <c r="C2507" s="1" t="str">
        <f>IFERROR(__xludf.DUMMYFUNCTION("""COMPUTED_VALUE"""),"control")</f>
        <v>control</v>
      </c>
      <c r="D2507" s="1" t="str">
        <f>IFERROR(__xludf.DUMMYFUNCTION("""COMPUTED_VALUE"""),"old_page")</f>
        <v>old_page</v>
      </c>
      <c r="E2507" s="1">
        <f>IFERROR(__xludf.DUMMYFUNCTION("""COMPUTED_VALUE"""),1.0)</f>
        <v>1</v>
      </c>
    </row>
    <row r="2508">
      <c r="A2508" s="1">
        <f>IFERROR(__xludf.DUMMYFUNCTION("""COMPUTED_VALUE"""),786310.0)</f>
        <v>786310</v>
      </c>
      <c r="B2508" s="2">
        <f>IFERROR(__xludf.DUMMYFUNCTION("""COMPUTED_VALUE"""),42741.99528813062)</f>
        <v>42741.99529</v>
      </c>
      <c r="C2508" s="1" t="str">
        <f>IFERROR(__xludf.DUMMYFUNCTION("""COMPUTED_VALUE"""),"treatment")</f>
        <v>treatment</v>
      </c>
      <c r="D2508" s="1" t="str">
        <f>IFERROR(__xludf.DUMMYFUNCTION("""COMPUTED_VALUE"""),"new_page")</f>
        <v>new_page</v>
      </c>
      <c r="E2508" s="1">
        <f>IFERROR(__xludf.DUMMYFUNCTION("""COMPUTED_VALUE"""),0.0)</f>
        <v>0</v>
      </c>
    </row>
    <row r="2509">
      <c r="A2509" s="1">
        <f>IFERROR(__xludf.DUMMYFUNCTION("""COMPUTED_VALUE"""),929840.0)</f>
        <v>929840</v>
      </c>
      <c r="B2509" s="2">
        <f>IFERROR(__xludf.DUMMYFUNCTION("""COMPUTED_VALUE"""),42742.91671112923)</f>
        <v>42742.91671</v>
      </c>
      <c r="C2509" s="1" t="str">
        <f>IFERROR(__xludf.DUMMYFUNCTION("""COMPUTED_VALUE"""),"treatment")</f>
        <v>treatment</v>
      </c>
      <c r="D2509" s="1" t="str">
        <f>IFERROR(__xludf.DUMMYFUNCTION("""COMPUTED_VALUE"""),"new_page")</f>
        <v>new_page</v>
      </c>
      <c r="E2509" s="1">
        <f>IFERROR(__xludf.DUMMYFUNCTION("""COMPUTED_VALUE"""),0.0)</f>
        <v>0</v>
      </c>
    </row>
    <row r="2510">
      <c r="A2510" s="1">
        <f>IFERROR(__xludf.DUMMYFUNCTION("""COMPUTED_VALUE"""),735804.0)</f>
        <v>735804</v>
      </c>
      <c r="B2510" s="2">
        <f>IFERROR(__xludf.DUMMYFUNCTION("""COMPUTED_VALUE"""),42756.47552846925)</f>
        <v>42756.47553</v>
      </c>
      <c r="C2510" s="1" t="str">
        <f>IFERROR(__xludf.DUMMYFUNCTION("""COMPUTED_VALUE"""),"control")</f>
        <v>control</v>
      </c>
      <c r="D2510" s="1" t="str">
        <f>IFERROR(__xludf.DUMMYFUNCTION("""COMPUTED_VALUE"""),"old_page")</f>
        <v>old_page</v>
      </c>
      <c r="E2510" s="1">
        <f>IFERROR(__xludf.DUMMYFUNCTION("""COMPUTED_VALUE"""),0.0)</f>
        <v>0</v>
      </c>
    </row>
    <row r="2511">
      <c r="A2511" s="1">
        <f>IFERROR(__xludf.DUMMYFUNCTION("""COMPUTED_VALUE"""),944618.0)</f>
        <v>944618</v>
      </c>
      <c r="B2511" s="2">
        <f>IFERROR(__xludf.DUMMYFUNCTION("""COMPUTED_VALUE"""),42757.05230098066)</f>
        <v>42757.0523</v>
      </c>
      <c r="C2511" s="1" t="str">
        <f>IFERROR(__xludf.DUMMYFUNCTION("""COMPUTED_VALUE"""),"control")</f>
        <v>control</v>
      </c>
      <c r="D2511" s="1" t="str">
        <f>IFERROR(__xludf.DUMMYFUNCTION("""COMPUTED_VALUE"""),"old_page")</f>
        <v>old_page</v>
      </c>
      <c r="E2511" s="1">
        <f>IFERROR(__xludf.DUMMYFUNCTION("""COMPUTED_VALUE"""),0.0)</f>
        <v>0</v>
      </c>
    </row>
    <row r="2512">
      <c r="A2512" s="1">
        <f>IFERROR(__xludf.DUMMYFUNCTION("""COMPUTED_VALUE"""),942410.0)</f>
        <v>942410</v>
      </c>
      <c r="B2512" s="2">
        <f>IFERROR(__xludf.DUMMYFUNCTION("""COMPUTED_VALUE"""),42744.66281603102)</f>
        <v>42744.66282</v>
      </c>
      <c r="C2512" s="1" t="str">
        <f>IFERROR(__xludf.DUMMYFUNCTION("""COMPUTED_VALUE"""),"treatment")</f>
        <v>treatment</v>
      </c>
      <c r="D2512" s="1" t="str">
        <f>IFERROR(__xludf.DUMMYFUNCTION("""COMPUTED_VALUE"""),"new_page")</f>
        <v>new_page</v>
      </c>
      <c r="E2512" s="1">
        <f>IFERROR(__xludf.DUMMYFUNCTION("""COMPUTED_VALUE"""),0.0)</f>
        <v>0</v>
      </c>
    </row>
    <row r="2513">
      <c r="A2513" s="1">
        <f>IFERROR(__xludf.DUMMYFUNCTION("""COMPUTED_VALUE"""),922352.0)</f>
        <v>922352</v>
      </c>
      <c r="B2513" s="2">
        <f>IFERROR(__xludf.DUMMYFUNCTION("""COMPUTED_VALUE"""),42757.64352010862)</f>
        <v>42757.64352</v>
      </c>
      <c r="C2513" s="1" t="str">
        <f>IFERROR(__xludf.DUMMYFUNCTION("""COMPUTED_VALUE"""),"control")</f>
        <v>control</v>
      </c>
      <c r="D2513" s="1" t="str">
        <f>IFERROR(__xludf.DUMMYFUNCTION("""COMPUTED_VALUE"""),"old_page")</f>
        <v>old_page</v>
      </c>
      <c r="E2513" s="1">
        <f>IFERROR(__xludf.DUMMYFUNCTION("""COMPUTED_VALUE"""),0.0)</f>
        <v>0</v>
      </c>
    </row>
    <row r="2514">
      <c r="A2514" s="1">
        <f>IFERROR(__xludf.DUMMYFUNCTION("""COMPUTED_VALUE"""),810229.0)</f>
        <v>810229</v>
      </c>
      <c r="B2514" s="2">
        <f>IFERROR(__xludf.DUMMYFUNCTION("""COMPUTED_VALUE"""),42738.128759389605)</f>
        <v>42738.12876</v>
      </c>
      <c r="C2514" s="1" t="str">
        <f>IFERROR(__xludf.DUMMYFUNCTION("""COMPUTED_VALUE"""),"treatment")</f>
        <v>treatment</v>
      </c>
      <c r="D2514" s="1" t="str">
        <f>IFERROR(__xludf.DUMMYFUNCTION("""COMPUTED_VALUE"""),"new_page")</f>
        <v>new_page</v>
      </c>
      <c r="E2514" s="1">
        <f>IFERROR(__xludf.DUMMYFUNCTION("""COMPUTED_VALUE"""),0.0)</f>
        <v>0</v>
      </c>
    </row>
    <row r="2515">
      <c r="A2515" s="1">
        <f>IFERROR(__xludf.DUMMYFUNCTION("""COMPUTED_VALUE"""),656475.0)</f>
        <v>656475</v>
      </c>
      <c r="B2515" s="2">
        <f>IFERROR(__xludf.DUMMYFUNCTION("""COMPUTED_VALUE"""),42755.07361788007)</f>
        <v>42755.07362</v>
      </c>
      <c r="C2515" s="1" t="str">
        <f>IFERROR(__xludf.DUMMYFUNCTION("""COMPUTED_VALUE"""),"control")</f>
        <v>control</v>
      </c>
      <c r="D2515" s="1" t="str">
        <f>IFERROR(__xludf.DUMMYFUNCTION("""COMPUTED_VALUE"""),"old_page")</f>
        <v>old_page</v>
      </c>
      <c r="E2515" s="1">
        <f>IFERROR(__xludf.DUMMYFUNCTION("""COMPUTED_VALUE"""),0.0)</f>
        <v>0</v>
      </c>
    </row>
    <row r="2516">
      <c r="A2516" s="1">
        <f>IFERROR(__xludf.DUMMYFUNCTION("""COMPUTED_VALUE"""),633763.0)</f>
        <v>633763</v>
      </c>
      <c r="B2516" s="2">
        <f>IFERROR(__xludf.DUMMYFUNCTION("""COMPUTED_VALUE"""),42738.509976032605)</f>
        <v>42738.50998</v>
      </c>
      <c r="C2516" s="1" t="str">
        <f>IFERROR(__xludf.DUMMYFUNCTION("""COMPUTED_VALUE"""),"treatment")</f>
        <v>treatment</v>
      </c>
      <c r="D2516" s="1" t="str">
        <f>IFERROR(__xludf.DUMMYFUNCTION("""COMPUTED_VALUE"""),"new_page")</f>
        <v>new_page</v>
      </c>
      <c r="E2516" s="1">
        <f>IFERROR(__xludf.DUMMYFUNCTION("""COMPUTED_VALUE"""),0.0)</f>
        <v>0</v>
      </c>
    </row>
    <row r="2517">
      <c r="A2517" s="1">
        <f>IFERROR(__xludf.DUMMYFUNCTION("""COMPUTED_VALUE"""),775356.0)</f>
        <v>775356</v>
      </c>
      <c r="B2517" s="2">
        <f>IFERROR(__xludf.DUMMYFUNCTION("""COMPUTED_VALUE"""),42755.10139337988)</f>
        <v>42755.10139</v>
      </c>
      <c r="C2517" s="1" t="str">
        <f>IFERROR(__xludf.DUMMYFUNCTION("""COMPUTED_VALUE"""),"control")</f>
        <v>control</v>
      </c>
      <c r="D2517" s="1" t="str">
        <f>IFERROR(__xludf.DUMMYFUNCTION("""COMPUTED_VALUE"""),"old_page")</f>
        <v>old_page</v>
      </c>
      <c r="E2517" s="1">
        <f>IFERROR(__xludf.DUMMYFUNCTION("""COMPUTED_VALUE"""),0.0)</f>
        <v>0</v>
      </c>
    </row>
    <row r="2518">
      <c r="A2518" s="1">
        <f>IFERROR(__xludf.DUMMYFUNCTION("""COMPUTED_VALUE"""),916467.0)</f>
        <v>916467</v>
      </c>
      <c r="B2518" s="2">
        <f>IFERROR(__xludf.DUMMYFUNCTION("""COMPUTED_VALUE"""),42745.27374314185)</f>
        <v>42745.27374</v>
      </c>
      <c r="C2518" s="1" t="str">
        <f>IFERROR(__xludf.DUMMYFUNCTION("""COMPUTED_VALUE"""),"treatment")</f>
        <v>treatment</v>
      </c>
      <c r="D2518" s="1" t="str">
        <f>IFERROR(__xludf.DUMMYFUNCTION("""COMPUTED_VALUE"""),"new_page")</f>
        <v>new_page</v>
      </c>
      <c r="E2518" s="1">
        <f>IFERROR(__xludf.DUMMYFUNCTION("""COMPUTED_VALUE"""),0.0)</f>
        <v>0</v>
      </c>
    </row>
    <row r="2519">
      <c r="A2519" s="1">
        <f>IFERROR(__xludf.DUMMYFUNCTION("""COMPUTED_VALUE"""),645544.0)</f>
        <v>645544</v>
      </c>
      <c r="B2519" s="2">
        <f>IFERROR(__xludf.DUMMYFUNCTION("""COMPUTED_VALUE"""),42753.85714101295)</f>
        <v>42753.85714</v>
      </c>
      <c r="C2519" s="1" t="str">
        <f>IFERROR(__xludf.DUMMYFUNCTION("""COMPUTED_VALUE"""),"control")</f>
        <v>control</v>
      </c>
      <c r="D2519" s="1" t="str">
        <f>IFERROR(__xludf.DUMMYFUNCTION("""COMPUTED_VALUE"""),"old_page")</f>
        <v>old_page</v>
      </c>
      <c r="E2519" s="1">
        <f>IFERROR(__xludf.DUMMYFUNCTION("""COMPUTED_VALUE"""),0.0)</f>
        <v>0</v>
      </c>
    </row>
    <row r="2520">
      <c r="A2520" s="1">
        <f>IFERROR(__xludf.DUMMYFUNCTION("""COMPUTED_VALUE"""),816115.0)</f>
        <v>816115</v>
      </c>
      <c r="B2520" s="2">
        <f>IFERROR(__xludf.DUMMYFUNCTION("""COMPUTED_VALUE"""),42758.72387446072)</f>
        <v>42758.72387</v>
      </c>
      <c r="C2520" s="1" t="str">
        <f>IFERROR(__xludf.DUMMYFUNCTION("""COMPUTED_VALUE"""),"treatment")</f>
        <v>treatment</v>
      </c>
      <c r="D2520" s="1" t="str">
        <f>IFERROR(__xludf.DUMMYFUNCTION("""COMPUTED_VALUE"""),"new_page")</f>
        <v>new_page</v>
      </c>
      <c r="E2520" s="1">
        <f>IFERROR(__xludf.DUMMYFUNCTION("""COMPUTED_VALUE"""),0.0)</f>
        <v>0</v>
      </c>
    </row>
    <row r="2521">
      <c r="A2521" s="1">
        <f>IFERROR(__xludf.DUMMYFUNCTION("""COMPUTED_VALUE"""),702389.0)</f>
        <v>702389</v>
      </c>
      <c r="B2521" s="2">
        <f>IFERROR(__xludf.DUMMYFUNCTION("""COMPUTED_VALUE"""),42743.73155245183)</f>
        <v>42743.73155</v>
      </c>
      <c r="C2521" s="1" t="str">
        <f>IFERROR(__xludf.DUMMYFUNCTION("""COMPUTED_VALUE"""),"control")</f>
        <v>control</v>
      </c>
      <c r="D2521" s="1" t="str">
        <f>IFERROR(__xludf.DUMMYFUNCTION("""COMPUTED_VALUE"""),"old_page")</f>
        <v>old_page</v>
      </c>
      <c r="E2521" s="1">
        <f>IFERROR(__xludf.DUMMYFUNCTION("""COMPUTED_VALUE"""),0.0)</f>
        <v>0</v>
      </c>
    </row>
    <row r="2522">
      <c r="A2522" s="1">
        <f>IFERROR(__xludf.DUMMYFUNCTION("""COMPUTED_VALUE"""),868336.0)</f>
        <v>868336</v>
      </c>
      <c r="B2522" s="2">
        <f>IFERROR(__xludf.DUMMYFUNCTION("""COMPUTED_VALUE"""),42745.40440237134)</f>
        <v>42745.4044</v>
      </c>
      <c r="C2522" s="1" t="str">
        <f>IFERROR(__xludf.DUMMYFUNCTION("""COMPUTED_VALUE"""),"treatment")</f>
        <v>treatment</v>
      </c>
      <c r="D2522" s="1" t="str">
        <f>IFERROR(__xludf.DUMMYFUNCTION("""COMPUTED_VALUE"""),"new_page")</f>
        <v>new_page</v>
      </c>
      <c r="E2522" s="1">
        <f>IFERROR(__xludf.DUMMYFUNCTION("""COMPUTED_VALUE"""),1.0)</f>
        <v>1</v>
      </c>
    </row>
    <row r="2523">
      <c r="A2523" s="1">
        <f>IFERROR(__xludf.DUMMYFUNCTION("""COMPUTED_VALUE"""),753515.0)</f>
        <v>753515</v>
      </c>
      <c r="B2523" s="2">
        <f>IFERROR(__xludf.DUMMYFUNCTION("""COMPUTED_VALUE"""),42750.5301354128)</f>
        <v>42750.53014</v>
      </c>
      <c r="C2523" s="1" t="str">
        <f>IFERROR(__xludf.DUMMYFUNCTION("""COMPUTED_VALUE"""),"treatment")</f>
        <v>treatment</v>
      </c>
      <c r="D2523" s="1" t="str">
        <f>IFERROR(__xludf.DUMMYFUNCTION("""COMPUTED_VALUE"""),"new_page")</f>
        <v>new_page</v>
      </c>
      <c r="E2523" s="1">
        <f>IFERROR(__xludf.DUMMYFUNCTION("""COMPUTED_VALUE"""),0.0)</f>
        <v>0</v>
      </c>
    </row>
    <row r="2524">
      <c r="A2524" s="1">
        <f>IFERROR(__xludf.DUMMYFUNCTION("""COMPUTED_VALUE"""),736012.0)</f>
        <v>736012</v>
      </c>
      <c r="B2524" s="2">
        <f>IFERROR(__xludf.DUMMYFUNCTION("""COMPUTED_VALUE"""),42746.9349955548)</f>
        <v>42746.935</v>
      </c>
      <c r="C2524" s="1" t="str">
        <f>IFERROR(__xludf.DUMMYFUNCTION("""COMPUTED_VALUE"""),"control")</f>
        <v>control</v>
      </c>
      <c r="D2524" s="1" t="str">
        <f>IFERROR(__xludf.DUMMYFUNCTION("""COMPUTED_VALUE"""),"old_page")</f>
        <v>old_page</v>
      </c>
      <c r="E2524" s="1">
        <f>IFERROR(__xludf.DUMMYFUNCTION("""COMPUTED_VALUE"""),0.0)</f>
        <v>0</v>
      </c>
    </row>
    <row r="2525">
      <c r="A2525" s="1">
        <f>IFERROR(__xludf.DUMMYFUNCTION("""COMPUTED_VALUE"""),854492.0)</f>
        <v>854492</v>
      </c>
      <c r="B2525" s="2">
        <f>IFERROR(__xludf.DUMMYFUNCTION("""COMPUTED_VALUE"""),42756.8734199819)</f>
        <v>42756.87342</v>
      </c>
      <c r="C2525" s="1" t="str">
        <f>IFERROR(__xludf.DUMMYFUNCTION("""COMPUTED_VALUE"""),"treatment")</f>
        <v>treatment</v>
      </c>
      <c r="D2525" s="1" t="str">
        <f>IFERROR(__xludf.DUMMYFUNCTION("""COMPUTED_VALUE"""),"new_page")</f>
        <v>new_page</v>
      </c>
      <c r="E2525" s="1">
        <f>IFERROR(__xludf.DUMMYFUNCTION("""COMPUTED_VALUE"""),0.0)</f>
        <v>0</v>
      </c>
    </row>
    <row r="2526">
      <c r="A2526" s="1">
        <f>IFERROR(__xludf.DUMMYFUNCTION("""COMPUTED_VALUE"""),715289.0)</f>
        <v>715289</v>
      </c>
      <c r="B2526" s="2">
        <f>IFERROR(__xludf.DUMMYFUNCTION("""COMPUTED_VALUE"""),42740.54817386942)</f>
        <v>42740.54817</v>
      </c>
      <c r="C2526" s="1" t="str">
        <f>IFERROR(__xludf.DUMMYFUNCTION("""COMPUTED_VALUE"""),"treatment")</f>
        <v>treatment</v>
      </c>
      <c r="D2526" s="1" t="str">
        <f>IFERROR(__xludf.DUMMYFUNCTION("""COMPUTED_VALUE"""),"new_page")</f>
        <v>new_page</v>
      </c>
      <c r="E2526" s="1">
        <f>IFERROR(__xludf.DUMMYFUNCTION("""COMPUTED_VALUE"""),0.0)</f>
        <v>0</v>
      </c>
    </row>
    <row r="2527">
      <c r="A2527" s="1">
        <f>IFERROR(__xludf.DUMMYFUNCTION("""COMPUTED_VALUE"""),637774.0)</f>
        <v>637774</v>
      </c>
      <c r="B2527" s="2">
        <f>IFERROR(__xludf.DUMMYFUNCTION("""COMPUTED_VALUE"""),42748.163784313714)</f>
        <v>42748.16378</v>
      </c>
      <c r="C2527" s="1" t="str">
        <f>IFERROR(__xludf.DUMMYFUNCTION("""COMPUTED_VALUE"""),"treatment")</f>
        <v>treatment</v>
      </c>
      <c r="D2527" s="1" t="str">
        <f>IFERROR(__xludf.DUMMYFUNCTION("""COMPUTED_VALUE"""),"new_page")</f>
        <v>new_page</v>
      </c>
      <c r="E2527" s="1">
        <f>IFERROR(__xludf.DUMMYFUNCTION("""COMPUTED_VALUE"""),0.0)</f>
        <v>0</v>
      </c>
    </row>
    <row r="2528">
      <c r="A2528" s="1">
        <f>IFERROR(__xludf.DUMMYFUNCTION("""COMPUTED_VALUE"""),783362.0)</f>
        <v>783362</v>
      </c>
      <c r="B2528" s="2">
        <f>IFERROR(__xludf.DUMMYFUNCTION("""COMPUTED_VALUE"""),42748.722131844814)</f>
        <v>42748.72213</v>
      </c>
      <c r="C2528" s="1" t="str">
        <f>IFERROR(__xludf.DUMMYFUNCTION("""COMPUTED_VALUE"""),"control")</f>
        <v>control</v>
      </c>
      <c r="D2528" s="1" t="str">
        <f>IFERROR(__xludf.DUMMYFUNCTION("""COMPUTED_VALUE"""),"old_page")</f>
        <v>old_page</v>
      </c>
      <c r="E2528" s="1">
        <f>IFERROR(__xludf.DUMMYFUNCTION("""COMPUTED_VALUE"""),0.0)</f>
        <v>0</v>
      </c>
    </row>
    <row r="2529">
      <c r="A2529" s="1">
        <f>IFERROR(__xludf.DUMMYFUNCTION("""COMPUTED_VALUE"""),678513.0)</f>
        <v>678513</v>
      </c>
      <c r="B2529" s="2">
        <f>IFERROR(__xludf.DUMMYFUNCTION("""COMPUTED_VALUE"""),42747.40030326874)</f>
        <v>42747.4003</v>
      </c>
      <c r="C2529" s="1" t="str">
        <f>IFERROR(__xludf.DUMMYFUNCTION("""COMPUTED_VALUE"""),"treatment")</f>
        <v>treatment</v>
      </c>
      <c r="D2529" s="1" t="str">
        <f>IFERROR(__xludf.DUMMYFUNCTION("""COMPUTED_VALUE"""),"new_page")</f>
        <v>new_page</v>
      </c>
      <c r="E2529" s="1">
        <f>IFERROR(__xludf.DUMMYFUNCTION("""COMPUTED_VALUE"""),0.0)</f>
        <v>0</v>
      </c>
    </row>
    <row r="2530">
      <c r="A2530" s="1">
        <f>IFERROR(__xludf.DUMMYFUNCTION("""COMPUTED_VALUE"""),649808.0)</f>
        <v>649808</v>
      </c>
      <c r="B2530" s="2">
        <f>IFERROR(__xludf.DUMMYFUNCTION("""COMPUTED_VALUE"""),42759.47376122404)</f>
        <v>42759.47376</v>
      </c>
      <c r="C2530" s="1" t="str">
        <f>IFERROR(__xludf.DUMMYFUNCTION("""COMPUTED_VALUE"""),"treatment")</f>
        <v>treatment</v>
      </c>
      <c r="D2530" s="1" t="str">
        <f>IFERROR(__xludf.DUMMYFUNCTION("""COMPUTED_VALUE"""),"new_page")</f>
        <v>new_page</v>
      </c>
      <c r="E2530" s="1">
        <f>IFERROR(__xludf.DUMMYFUNCTION("""COMPUTED_VALUE"""),1.0)</f>
        <v>1</v>
      </c>
    </row>
    <row r="2531">
      <c r="A2531" s="1">
        <f>IFERROR(__xludf.DUMMYFUNCTION("""COMPUTED_VALUE"""),893374.0)</f>
        <v>893374</v>
      </c>
      <c r="B2531" s="2">
        <f>IFERROR(__xludf.DUMMYFUNCTION("""COMPUTED_VALUE"""),42739.47163044006)</f>
        <v>42739.47163</v>
      </c>
      <c r="C2531" s="1" t="str">
        <f>IFERROR(__xludf.DUMMYFUNCTION("""COMPUTED_VALUE"""),"control")</f>
        <v>control</v>
      </c>
      <c r="D2531" s="1" t="str">
        <f>IFERROR(__xludf.DUMMYFUNCTION("""COMPUTED_VALUE"""),"old_page")</f>
        <v>old_page</v>
      </c>
      <c r="E2531" s="1">
        <f>IFERROR(__xludf.DUMMYFUNCTION("""COMPUTED_VALUE"""),0.0)</f>
        <v>0</v>
      </c>
    </row>
    <row r="2532">
      <c r="A2532" s="1">
        <f>IFERROR(__xludf.DUMMYFUNCTION("""COMPUTED_VALUE"""),817729.0)</f>
        <v>817729</v>
      </c>
      <c r="B2532" s="2">
        <f>IFERROR(__xludf.DUMMYFUNCTION("""COMPUTED_VALUE"""),42738.90922651955)</f>
        <v>42738.90923</v>
      </c>
      <c r="C2532" s="1" t="str">
        <f>IFERROR(__xludf.DUMMYFUNCTION("""COMPUTED_VALUE"""),"treatment")</f>
        <v>treatment</v>
      </c>
      <c r="D2532" s="1" t="str">
        <f>IFERROR(__xludf.DUMMYFUNCTION("""COMPUTED_VALUE"""),"new_page")</f>
        <v>new_page</v>
      </c>
      <c r="E2532" s="1">
        <f>IFERROR(__xludf.DUMMYFUNCTION("""COMPUTED_VALUE"""),0.0)</f>
        <v>0</v>
      </c>
    </row>
    <row r="2533">
      <c r="A2533" s="1">
        <f>IFERROR(__xludf.DUMMYFUNCTION("""COMPUTED_VALUE"""),924300.0)</f>
        <v>924300</v>
      </c>
      <c r="B2533" s="2">
        <f>IFERROR(__xludf.DUMMYFUNCTION("""COMPUTED_VALUE"""),42747.72063358257)</f>
        <v>42747.72063</v>
      </c>
      <c r="C2533" s="1" t="str">
        <f>IFERROR(__xludf.DUMMYFUNCTION("""COMPUTED_VALUE"""),"control")</f>
        <v>control</v>
      </c>
      <c r="D2533" s="1" t="str">
        <f>IFERROR(__xludf.DUMMYFUNCTION("""COMPUTED_VALUE"""),"old_page")</f>
        <v>old_page</v>
      </c>
      <c r="E2533" s="1">
        <f>IFERROR(__xludf.DUMMYFUNCTION("""COMPUTED_VALUE"""),1.0)</f>
        <v>1</v>
      </c>
    </row>
    <row r="2534">
      <c r="A2534" s="1">
        <f>IFERROR(__xludf.DUMMYFUNCTION("""COMPUTED_VALUE"""),933445.0)</f>
        <v>933445</v>
      </c>
      <c r="B2534" s="2">
        <f>IFERROR(__xludf.DUMMYFUNCTION("""COMPUTED_VALUE"""),42746.65181780172)</f>
        <v>42746.65182</v>
      </c>
      <c r="C2534" s="1" t="str">
        <f>IFERROR(__xludf.DUMMYFUNCTION("""COMPUTED_VALUE"""),"control")</f>
        <v>control</v>
      </c>
      <c r="D2534" s="1" t="str">
        <f>IFERROR(__xludf.DUMMYFUNCTION("""COMPUTED_VALUE"""),"old_page")</f>
        <v>old_page</v>
      </c>
      <c r="E2534" s="1">
        <f>IFERROR(__xludf.DUMMYFUNCTION("""COMPUTED_VALUE"""),0.0)</f>
        <v>0</v>
      </c>
    </row>
    <row r="2535">
      <c r="A2535" s="1">
        <f>IFERROR(__xludf.DUMMYFUNCTION("""COMPUTED_VALUE"""),809714.0)</f>
        <v>809714</v>
      </c>
      <c r="B2535" s="2">
        <f>IFERROR(__xludf.DUMMYFUNCTION("""COMPUTED_VALUE"""),42751.00104026433)</f>
        <v>42751.00104</v>
      </c>
      <c r="C2535" s="1" t="str">
        <f>IFERROR(__xludf.DUMMYFUNCTION("""COMPUTED_VALUE"""),"control")</f>
        <v>control</v>
      </c>
      <c r="D2535" s="1" t="str">
        <f>IFERROR(__xludf.DUMMYFUNCTION("""COMPUTED_VALUE"""),"old_page")</f>
        <v>old_page</v>
      </c>
      <c r="E2535" s="1">
        <f>IFERROR(__xludf.DUMMYFUNCTION("""COMPUTED_VALUE"""),0.0)</f>
        <v>0</v>
      </c>
    </row>
    <row r="2536">
      <c r="A2536" s="1">
        <f>IFERROR(__xludf.DUMMYFUNCTION("""COMPUTED_VALUE"""),678831.0)</f>
        <v>678831</v>
      </c>
      <c r="B2536" s="2">
        <f>IFERROR(__xludf.DUMMYFUNCTION("""COMPUTED_VALUE"""),42743.55679576367)</f>
        <v>42743.5568</v>
      </c>
      <c r="C2536" s="1" t="str">
        <f>IFERROR(__xludf.DUMMYFUNCTION("""COMPUTED_VALUE"""),"control")</f>
        <v>control</v>
      </c>
      <c r="D2536" s="1" t="str">
        <f>IFERROR(__xludf.DUMMYFUNCTION("""COMPUTED_VALUE"""),"old_page")</f>
        <v>old_page</v>
      </c>
      <c r="E2536" s="1">
        <f>IFERROR(__xludf.DUMMYFUNCTION("""COMPUTED_VALUE"""),0.0)</f>
        <v>0</v>
      </c>
    </row>
    <row r="2537">
      <c r="A2537" s="1">
        <f>IFERROR(__xludf.DUMMYFUNCTION("""COMPUTED_VALUE"""),761516.0)</f>
        <v>761516</v>
      </c>
      <c r="B2537" s="2">
        <f>IFERROR(__xludf.DUMMYFUNCTION("""COMPUTED_VALUE"""),42737.92371475518)</f>
        <v>42737.92371</v>
      </c>
      <c r="C2537" s="1" t="str">
        <f>IFERROR(__xludf.DUMMYFUNCTION("""COMPUTED_VALUE"""),"treatment")</f>
        <v>treatment</v>
      </c>
      <c r="D2537" s="1" t="str">
        <f>IFERROR(__xludf.DUMMYFUNCTION("""COMPUTED_VALUE"""),"new_page")</f>
        <v>new_page</v>
      </c>
      <c r="E2537" s="1">
        <f>IFERROR(__xludf.DUMMYFUNCTION("""COMPUTED_VALUE"""),0.0)</f>
        <v>0</v>
      </c>
    </row>
    <row r="2538">
      <c r="A2538" s="1">
        <f>IFERROR(__xludf.DUMMYFUNCTION("""COMPUTED_VALUE"""),647089.0)</f>
        <v>647089</v>
      </c>
      <c r="B2538" s="2">
        <f>IFERROR(__xludf.DUMMYFUNCTION("""COMPUTED_VALUE"""),42737.75766537063)</f>
        <v>42737.75767</v>
      </c>
      <c r="C2538" s="1" t="str">
        <f>IFERROR(__xludf.DUMMYFUNCTION("""COMPUTED_VALUE"""),"treatment")</f>
        <v>treatment</v>
      </c>
      <c r="D2538" s="1" t="str">
        <f>IFERROR(__xludf.DUMMYFUNCTION("""COMPUTED_VALUE"""),"new_page")</f>
        <v>new_page</v>
      </c>
      <c r="E2538" s="1">
        <f>IFERROR(__xludf.DUMMYFUNCTION("""COMPUTED_VALUE"""),1.0)</f>
        <v>1</v>
      </c>
    </row>
    <row r="2539">
      <c r="A2539" s="1">
        <f>IFERROR(__xludf.DUMMYFUNCTION("""COMPUTED_VALUE"""),661470.0)</f>
        <v>661470</v>
      </c>
      <c r="B2539" s="2">
        <f>IFERROR(__xludf.DUMMYFUNCTION("""COMPUTED_VALUE"""),42755.82998705287)</f>
        <v>42755.82999</v>
      </c>
      <c r="C2539" s="1" t="str">
        <f>IFERROR(__xludf.DUMMYFUNCTION("""COMPUTED_VALUE"""),"control")</f>
        <v>control</v>
      </c>
      <c r="D2539" s="1" t="str">
        <f>IFERROR(__xludf.DUMMYFUNCTION("""COMPUTED_VALUE"""),"old_page")</f>
        <v>old_page</v>
      </c>
      <c r="E2539" s="1">
        <f>IFERROR(__xludf.DUMMYFUNCTION("""COMPUTED_VALUE"""),0.0)</f>
        <v>0</v>
      </c>
    </row>
    <row r="2540">
      <c r="A2540" s="1">
        <f>IFERROR(__xludf.DUMMYFUNCTION("""COMPUTED_VALUE"""),707787.0)</f>
        <v>707787</v>
      </c>
      <c r="B2540" s="2">
        <f>IFERROR(__xludf.DUMMYFUNCTION("""COMPUTED_VALUE"""),42754.99591051682)</f>
        <v>42754.99591</v>
      </c>
      <c r="C2540" s="1" t="str">
        <f>IFERROR(__xludf.DUMMYFUNCTION("""COMPUTED_VALUE"""),"control")</f>
        <v>control</v>
      </c>
      <c r="D2540" s="1" t="str">
        <f>IFERROR(__xludf.DUMMYFUNCTION("""COMPUTED_VALUE"""),"old_page")</f>
        <v>old_page</v>
      </c>
      <c r="E2540" s="1">
        <f>IFERROR(__xludf.DUMMYFUNCTION("""COMPUTED_VALUE"""),0.0)</f>
        <v>0</v>
      </c>
    </row>
    <row r="2541">
      <c r="A2541" s="1">
        <f>IFERROR(__xludf.DUMMYFUNCTION("""COMPUTED_VALUE"""),758516.0)</f>
        <v>758516</v>
      </c>
      <c r="B2541" s="2">
        <f>IFERROR(__xludf.DUMMYFUNCTION("""COMPUTED_VALUE"""),42748.386758292)</f>
        <v>42748.38676</v>
      </c>
      <c r="C2541" s="1" t="str">
        <f>IFERROR(__xludf.DUMMYFUNCTION("""COMPUTED_VALUE"""),"treatment")</f>
        <v>treatment</v>
      </c>
      <c r="D2541" s="1" t="str">
        <f>IFERROR(__xludf.DUMMYFUNCTION("""COMPUTED_VALUE"""),"new_page")</f>
        <v>new_page</v>
      </c>
      <c r="E2541" s="1">
        <f>IFERROR(__xludf.DUMMYFUNCTION("""COMPUTED_VALUE"""),0.0)</f>
        <v>0</v>
      </c>
    </row>
    <row r="2542">
      <c r="A2542" s="1">
        <f>IFERROR(__xludf.DUMMYFUNCTION("""COMPUTED_VALUE"""),830870.0)</f>
        <v>830870</v>
      </c>
      <c r="B2542" s="2">
        <f>IFERROR(__xludf.DUMMYFUNCTION("""COMPUTED_VALUE"""),42755.396064757115)</f>
        <v>42755.39606</v>
      </c>
      <c r="C2542" s="1" t="str">
        <f>IFERROR(__xludf.DUMMYFUNCTION("""COMPUTED_VALUE"""),"treatment")</f>
        <v>treatment</v>
      </c>
      <c r="D2542" s="1" t="str">
        <f>IFERROR(__xludf.DUMMYFUNCTION("""COMPUTED_VALUE"""),"new_page")</f>
        <v>new_page</v>
      </c>
      <c r="E2542" s="1">
        <f>IFERROR(__xludf.DUMMYFUNCTION("""COMPUTED_VALUE"""),0.0)</f>
        <v>0</v>
      </c>
    </row>
    <row r="2543">
      <c r="A2543" s="1">
        <f>IFERROR(__xludf.DUMMYFUNCTION("""COMPUTED_VALUE"""),860168.0)</f>
        <v>860168</v>
      </c>
      <c r="B2543" s="2">
        <f>IFERROR(__xludf.DUMMYFUNCTION("""COMPUTED_VALUE"""),42743.01280478453)</f>
        <v>42743.0128</v>
      </c>
      <c r="C2543" s="1" t="str">
        <f>IFERROR(__xludf.DUMMYFUNCTION("""COMPUTED_VALUE"""),"treatment")</f>
        <v>treatment</v>
      </c>
      <c r="D2543" s="1" t="str">
        <f>IFERROR(__xludf.DUMMYFUNCTION("""COMPUTED_VALUE"""),"new_page")</f>
        <v>new_page</v>
      </c>
      <c r="E2543" s="1">
        <f>IFERROR(__xludf.DUMMYFUNCTION("""COMPUTED_VALUE"""),1.0)</f>
        <v>1</v>
      </c>
    </row>
    <row r="2544">
      <c r="A2544" s="1">
        <f>IFERROR(__xludf.DUMMYFUNCTION("""COMPUTED_VALUE"""),743106.0)</f>
        <v>743106</v>
      </c>
      <c r="B2544" s="2">
        <f>IFERROR(__xludf.DUMMYFUNCTION("""COMPUTED_VALUE"""),42757.517928995985)</f>
        <v>42757.51793</v>
      </c>
      <c r="C2544" s="1" t="str">
        <f>IFERROR(__xludf.DUMMYFUNCTION("""COMPUTED_VALUE"""),"control")</f>
        <v>control</v>
      </c>
      <c r="D2544" s="1" t="str">
        <f>IFERROR(__xludf.DUMMYFUNCTION("""COMPUTED_VALUE"""),"old_page")</f>
        <v>old_page</v>
      </c>
      <c r="E2544" s="1">
        <f>IFERROR(__xludf.DUMMYFUNCTION("""COMPUTED_VALUE"""),0.0)</f>
        <v>0</v>
      </c>
    </row>
    <row r="2545">
      <c r="A2545" s="1">
        <f>IFERROR(__xludf.DUMMYFUNCTION("""COMPUTED_VALUE"""),876815.0)</f>
        <v>876815</v>
      </c>
      <c r="B2545" s="2">
        <f>IFERROR(__xludf.DUMMYFUNCTION("""COMPUTED_VALUE"""),42743.31172550103)</f>
        <v>42743.31173</v>
      </c>
      <c r="C2545" s="1" t="str">
        <f>IFERROR(__xludf.DUMMYFUNCTION("""COMPUTED_VALUE"""),"control")</f>
        <v>control</v>
      </c>
      <c r="D2545" s="1" t="str">
        <f>IFERROR(__xludf.DUMMYFUNCTION("""COMPUTED_VALUE"""),"old_page")</f>
        <v>old_page</v>
      </c>
      <c r="E2545" s="1">
        <f>IFERROR(__xludf.DUMMYFUNCTION("""COMPUTED_VALUE"""),0.0)</f>
        <v>0</v>
      </c>
    </row>
    <row r="2546">
      <c r="A2546" s="1">
        <f>IFERROR(__xludf.DUMMYFUNCTION("""COMPUTED_VALUE"""),862962.0)</f>
        <v>862962</v>
      </c>
      <c r="B2546" s="2">
        <f>IFERROR(__xludf.DUMMYFUNCTION("""COMPUTED_VALUE"""),42754.40182562525)</f>
        <v>42754.40183</v>
      </c>
      <c r="C2546" s="1" t="str">
        <f>IFERROR(__xludf.DUMMYFUNCTION("""COMPUTED_VALUE"""),"control")</f>
        <v>control</v>
      </c>
      <c r="D2546" s="1" t="str">
        <f>IFERROR(__xludf.DUMMYFUNCTION("""COMPUTED_VALUE"""),"old_page")</f>
        <v>old_page</v>
      </c>
      <c r="E2546" s="1">
        <f>IFERROR(__xludf.DUMMYFUNCTION("""COMPUTED_VALUE"""),0.0)</f>
        <v>0</v>
      </c>
    </row>
    <row r="2547">
      <c r="A2547" s="1">
        <f>IFERROR(__xludf.DUMMYFUNCTION("""COMPUTED_VALUE"""),652931.0)</f>
        <v>652931</v>
      </c>
      <c r="B2547" s="2">
        <f>IFERROR(__xludf.DUMMYFUNCTION("""COMPUTED_VALUE"""),42744.63439970758)</f>
        <v>42744.6344</v>
      </c>
      <c r="C2547" s="1" t="str">
        <f>IFERROR(__xludf.DUMMYFUNCTION("""COMPUTED_VALUE"""),"treatment")</f>
        <v>treatment</v>
      </c>
      <c r="D2547" s="1" t="str">
        <f>IFERROR(__xludf.DUMMYFUNCTION("""COMPUTED_VALUE"""),"new_page")</f>
        <v>new_page</v>
      </c>
      <c r="E2547" s="1">
        <f>IFERROR(__xludf.DUMMYFUNCTION("""COMPUTED_VALUE"""),0.0)</f>
        <v>0</v>
      </c>
    </row>
    <row r="2548">
      <c r="A2548" s="1">
        <f>IFERROR(__xludf.DUMMYFUNCTION("""COMPUTED_VALUE"""),835320.0)</f>
        <v>835320</v>
      </c>
      <c r="B2548" s="2">
        <f>IFERROR(__xludf.DUMMYFUNCTION("""COMPUTED_VALUE"""),42747.74172718627)</f>
        <v>42747.74173</v>
      </c>
      <c r="C2548" s="1" t="str">
        <f>IFERROR(__xludf.DUMMYFUNCTION("""COMPUTED_VALUE"""),"control")</f>
        <v>control</v>
      </c>
      <c r="D2548" s="1" t="str">
        <f>IFERROR(__xludf.DUMMYFUNCTION("""COMPUTED_VALUE"""),"old_page")</f>
        <v>old_page</v>
      </c>
      <c r="E2548" s="1">
        <f>IFERROR(__xludf.DUMMYFUNCTION("""COMPUTED_VALUE"""),1.0)</f>
        <v>1</v>
      </c>
    </row>
    <row r="2549">
      <c r="A2549" s="1">
        <f>IFERROR(__xludf.DUMMYFUNCTION("""COMPUTED_VALUE"""),866981.0)</f>
        <v>866981</v>
      </c>
      <c r="B2549" s="2">
        <f>IFERROR(__xludf.DUMMYFUNCTION("""COMPUTED_VALUE"""),42740.19806257376)</f>
        <v>42740.19806</v>
      </c>
      <c r="C2549" s="1" t="str">
        <f>IFERROR(__xludf.DUMMYFUNCTION("""COMPUTED_VALUE"""),"control")</f>
        <v>control</v>
      </c>
      <c r="D2549" s="1" t="str">
        <f>IFERROR(__xludf.DUMMYFUNCTION("""COMPUTED_VALUE"""),"old_page")</f>
        <v>old_page</v>
      </c>
      <c r="E2549" s="1">
        <f>IFERROR(__xludf.DUMMYFUNCTION("""COMPUTED_VALUE"""),0.0)</f>
        <v>0</v>
      </c>
    </row>
    <row r="2550">
      <c r="A2550" s="1">
        <f>IFERROR(__xludf.DUMMYFUNCTION("""COMPUTED_VALUE"""),636723.0)</f>
        <v>636723</v>
      </c>
      <c r="B2550" s="2">
        <f>IFERROR(__xludf.DUMMYFUNCTION("""COMPUTED_VALUE"""),42743.06832087862)</f>
        <v>42743.06832</v>
      </c>
      <c r="C2550" s="1" t="str">
        <f>IFERROR(__xludf.DUMMYFUNCTION("""COMPUTED_VALUE"""),"control")</f>
        <v>control</v>
      </c>
      <c r="D2550" s="1" t="str">
        <f>IFERROR(__xludf.DUMMYFUNCTION("""COMPUTED_VALUE"""),"old_page")</f>
        <v>old_page</v>
      </c>
      <c r="E2550" s="1">
        <f>IFERROR(__xludf.DUMMYFUNCTION("""COMPUTED_VALUE"""),0.0)</f>
        <v>0</v>
      </c>
    </row>
    <row r="2551">
      <c r="A2551" s="1">
        <f>IFERROR(__xludf.DUMMYFUNCTION("""COMPUTED_VALUE"""),768327.0)</f>
        <v>768327</v>
      </c>
      <c r="B2551" s="2">
        <f>IFERROR(__xludf.DUMMYFUNCTION("""COMPUTED_VALUE"""),42752.461454546145)</f>
        <v>42752.46145</v>
      </c>
      <c r="C2551" s="1" t="str">
        <f>IFERROR(__xludf.DUMMYFUNCTION("""COMPUTED_VALUE"""),"treatment")</f>
        <v>treatment</v>
      </c>
      <c r="D2551" s="1" t="str">
        <f>IFERROR(__xludf.DUMMYFUNCTION("""COMPUTED_VALUE"""),"new_page")</f>
        <v>new_page</v>
      </c>
      <c r="E2551" s="1">
        <f>IFERROR(__xludf.DUMMYFUNCTION("""COMPUTED_VALUE"""),0.0)</f>
        <v>0</v>
      </c>
    </row>
    <row r="2552">
      <c r="A2552" s="1">
        <f>IFERROR(__xludf.DUMMYFUNCTION("""COMPUTED_VALUE"""),815983.0)</f>
        <v>815983</v>
      </c>
      <c r="B2552" s="2">
        <f>IFERROR(__xludf.DUMMYFUNCTION("""COMPUTED_VALUE"""),42739.33928677267)</f>
        <v>42739.33929</v>
      </c>
      <c r="C2552" s="1" t="str">
        <f>IFERROR(__xludf.DUMMYFUNCTION("""COMPUTED_VALUE"""),"treatment")</f>
        <v>treatment</v>
      </c>
      <c r="D2552" s="1" t="str">
        <f>IFERROR(__xludf.DUMMYFUNCTION("""COMPUTED_VALUE"""),"new_page")</f>
        <v>new_page</v>
      </c>
      <c r="E2552" s="1">
        <f>IFERROR(__xludf.DUMMYFUNCTION("""COMPUTED_VALUE"""),0.0)</f>
        <v>0</v>
      </c>
    </row>
    <row r="2553">
      <c r="A2553" s="1">
        <f>IFERROR(__xludf.DUMMYFUNCTION("""COMPUTED_VALUE"""),661653.0)</f>
        <v>661653</v>
      </c>
      <c r="B2553" s="2">
        <f>IFERROR(__xludf.DUMMYFUNCTION("""COMPUTED_VALUE"""),42742.21461915833)</f>
        <v>42742.21462</v>
      </c>
      <c r="C2553" s="1" t="str">
        <f>IFERROR(__xludf.DUMMYFUNCTION("""COMPUTED_VALUE"""),"treatment")</f>
        <v>treatment</v>
      </c>
      <c r="D2553" s="1" t="str">
        <f>IFERROR(__xludf.DUMMYFUNCTION("""COMPUTED_VALUE"""),"new_page")</f>
        <v>new_page</v>
      </c>
      <c r="E2553" s="1">
        <f>IFERROR(__xludf.DUMMYFUNCTION("""COMPUTED_VALUE"""),1.0)</f>
        <v>1</v>
      </c>
    </row>
    <row r="2554">
      <c r="A2554" s="1">
        <f>IFERROR(__xludf.DUMMYFUNCTION("""COMPUTED_VALUE"""),794008.0)</f>
        <v>794008</v>
      </c>
      <c r="B2554" s="2">
        <f>IFERROR(__xludf.DUMMYFUNCTION("""COMPUTED_VALUE"""),42742.552870458574)</f>
        <v>42742.55287</v>
      </c>
      <c r="C2554" s="1" t="str">
        <f>IFERROR(__xludf.DUMMYFUNCTION("""COMPUTED_VALUE"""),"control")</f>
        <v>control</v>
      </c>
      <c r="D2554" s="1" t="str">
        <f>IFERROR(__xludf.DUMMYFUNCTION("""COMPUTED_VALUE"""),"old_page")</f>
        <v>old_page</v>
      </c>
      <c r="E2554" s="1">
        <f>IFERROR(__xludf.DUMMYFUNCTION("""COMPUTED_VALUE"""),0.0)</f>
        <v>0</v>
      </c>
    </row>
    <row r="2555">
      <c r="A2555" s="1">
        <f>IFERROR(__xludf.DUMMYFUNCTION("""COMPUTED_VALUE"""),834730.0)</f>
        <v>834730</v>
      </c>
      <c r="B2555" s="2">
        <f>IFERROR(__xludf.DUMMYFUNCTION("""COMPUTED_VALUE"""),42756.104313030184)</f>
        <v>42756.10431</v>
      </c>
      <c r="C2555" s="1" t="str">
        <f>IFERROR(__xludf.DUMMYFUNCTION("""COMPUTED_VALUE"""),"treatment")</f>
        <v>treatment</v>
      </c>
      <c r="D2555" s="1" t="str">
        <f>IFERROR(__xludf.DUMMYFUNCTION("""COMPUTED_VALUE"""),"new_page")</f>
        <v>new_page</v>
      </c>
      <c r="E2555" s="1">
        <f>IFERROR(__xludf.DUMMYFUNCTION("""COMPUTED_VALUE"""),0.0)</f>
        <v>0</v>
      </c>
    </row>
    <row r="2556">
      <c r="A2556" s="1">
        <f>IFERROR(__xludf.DUMMYFUNCTION("""COMPUTED_VALUE"""),752313.0)</f>
        <v>752313</v>
      </c>
      <c r="B2556" s="2">
        <f>IFERROR(__xludf.DUMMYFUNCTION("""COMPUTED_VALUE"""),42753.71178481971)</f>
        <v>42753.71178</v>
      </c>
      <c r="C2556" s="1" t="str">
        <f>IFERROR(__xludf.DUMMYFUNCTION("""COMPUTED_VALUE"""),"control")</f>
        <v>control</v>
      </c>
      <c r="D2556" s="1" t="str">
        <f>IFERROR(__xludf.DUMMYFUNCTION("""COMPUTED_VALUE"""),"old_page")</f>
        <v>old_page</v>
      </c>
      <c r="E2556" s="1">
        <f>IFERROR(__xludf.DUMMYFUNCTION("""COMPUTED_VALUE"""),0.0)</f>
        <v>0</v>
      </c>
    </row>
    <row r="2557">
      <c r="A2557" s="1">
        <f>IFERROR(__xludf.DUMMYFUNCTION("""COMPUTED_VALUE"""),672297.0)</f>
        <v>672297</v>
      </c>
      <c r="B2557" s="2">
        <f>IFERROR(__xludf.DUMMYFUNCTION("""COMPUTED_VALUE"""),42742.55239028911)</f>
        <v>42742.55239</v>
      </c>
      <c r="C2557" s="1" t="str">
        <f>IFERROR(__xludf.DUMMYFUNCTION("""COMPUTED_VALUE"""),"treatment")</f>
        <v>treatment</v>
      </c>
      <c r="D2557" s="1" t="str">
        <f>IFERROR(__xludf.DUMMYFUNCTION("""COMPUTED_VALUE"""),"new_page")</f>
        <v>new_page</v>
      </c>
      <c r="E2557" s="1">
        <f>IFERROR(__xludf.DUMMYFUNCTION("""COMPUTED_VALUE"""),0.0)</f>
        <v>0</v>
      </c>
    </row>
    <row r="2558">
      <c r="A2558" s="1">
        <f>IFERROR(__xludf.DUMMYFUNCTION("""COMPUTED_VALUE"""),903352.0)</f>
        <v>903352</v>
      </c>
      <c r="B2558" s="2">
        <f>IFERROR(__xludf.DUMMYFUNCTION("""COMPUTED_VALUE"""),42755.16107526684)</f>
        <v>42755.16108</v>
      </c>
      <c r="C2558" s="1" t="str">
        <f>IFERROR(__xludf.DUMMYFUNCTION("""COMPUTED_VALUE"""),"control")</f>
        <v>control</v>
      </c>
      <c r="D2558" s="1" t="str">
        <f>IFERROR(__xludf.DUMMYFUNCTION("""COMPUTED_VALUE"""),"old_page")</f>
        <v>old_page</v>
      </c>
      <c r="E2558" s="1">
        <f>IFERROR(__xludf.DUMMYFUNCTION("""COMPUTED_VALUE"""),0.0)</f>
        <v>0</v>
      </c>
    </row>
    <row r="2559">
      <c r="A2559" s="1">
        <f>IFERROR(__xludf.DUMMYFUNCTION("""COMPUTED_VALUE"""),638509.0)</f>
        <v>638509</v>
      </c>
      <c r="B2559" s="2">
        <f>IFERROR(__xludf.DUMMYFUNCTION("""COMPUTED_VALUE"""),42753.47943960375)</f>
        <v>42753.47944</v>
      </c>
      <c r="C2559" s="1" t="str">
        <f>IFERROR(__xludf.DUMMYFUNCTION("""COMPUTED_VALUE"""),"treatment")</f>
        <v>treatment</v>
      </c>
      <c r="D2559" s="1" t="str">
        <f>IFERROR(__xludf.DUMMYFUNCTION("""COMPUTED_VALUE"""),"new_page")</f>
        <v>new_page</v>
      </c>
      <c r="E2559" s="1">
        <f>IFERROR(__xludf.DUMMYFUNCTION("""COMPUTED_VALUE"""),0.0)</f>
        <v>0</v>
      </c>
    </row>
    <row r="2560">
      <c r="A2560" s="1">
        <f>IFERROR(__xludf.DUMMYFUNCTION("""COMPUTED_VALUE"""),810013.0)</f>
        <v>810013</v>
      </c>
      <c r="B2560" s="2">
        <f>IFERROR(__xludf.DUMMYFUNCTION("""COMPUTED_VALUE"""),42738.52987449064)</f>
        <v>42738.52987</v>
      </c>
      <c r="C2560" s="1" t="str">
        <f>IFERROR(__xludf.DUMMYFUNCTION("""COMPUTED_VALUE"""),"treatment")</f>
        <v>treatment</v>
      </c>
      <c r="D2560" s="1" t="str">
        <f>IFERROR(__xludf.DUMMYFUNCTION("""COMPUTED_VALUE"""),"new_page")</f>
        <v>new_page</v>
      </c>
      <c r="E2560" s="1">
        <f>IFERROR(__xludf.DUMMYFUNCTION("""COMPUTED_VALUE"""),0.0)</f>
        <v>0</v>
      </c>
    </row>
    <row r="2561">
      <c r="A2561" s="1">
        <f>IFERROR(__xludf.DUMMYFUNCTION("""COMPUTED_VALUE"""),746134.0)</f>
        <v>746134</v>
      </c>
      <c r="B2561" s="2">
        <f>IFERROR(__xludf.DUMMYFUNCTION("""COMPUTED_VALUE"""),42751.74620523224)</f>
        <v>42751.74621</v>
      </c>
      <c r="C2561" s="1" t="str">
        <f>IFERROR(__xludf.DUMMYFUNCTION("""COMPUTED_VALUE"""),"control")</f>
        <v>control</v>
      </c>
      <c r="D2561" s="1" t="str">
        <f>IFERROR(__xludf.DUMMYFUNCTION("""COMPUTED_VALUE"""),"old_page")</f>
        <v>old_page</v>
      </c>
      <c r="E2561" s="1">
        <f>IFERROR(__xludf.DUMMYFUNCTION("""COMPUTED_VALUE"""),0.0)</f>
        <v>0</v>
      </c>
    </row>
    <row r="2562">
      <c r="A2562" s="1">
        <f>IFERROR(__xludf.DUMMYFUNCTION("""COMPUTED_VALUE"""),696611.0)</f>
        <v>696611</v>
      </c>
      <c r="B2562" s="2">
        <f>IFERROR(__xludf.DUMMYFUNCTION("""COMPUTED_VALUE"""),42756.14555739867)</f>
        <v>42756.14556</v>
      </c>
      <c r="C2562" s="1" t="str">
        <f>IFERROR(__xludf.DUMMYFUNCTION("""COMPUTED_VALUE"""),"control")</f>
        <v>control</v>
      </c>
      <c r="D2562" s="1" t="str">
        <f>IFERROR(__xludf.DUMMYFUNCTION("""COMPUTED_VALUE"""),"old_page")</f>
        <v>old_page</v>
      </c>
      <c r="E2562" s="1">
        <f>IFERROR(__xludf.DUMMYFUNCTION("""COMPUTED_VALUE"""),0.0)</f>
        <v>0</v>
      </c>
    </row>
    <row r="2563">
      <c r="A2563" s="1">
        <f>IFERROR(__xludf.DUMMYFUNCTION("""COMPUTED_VALUE"""),763853.0)</f>
        <v>763853</v>
      </c>
      <c r="B2563" s="2">
        <f>IFERROR(__xludf.DUMMYFUNCTION("""COMPUTED_VALUE"""),42757.20232698799)</f>
        <v>42757.20233</v>
      </c>
      <c r="C2563" s="1" t="str">
        <f>IFERROR(__xludf.DUMMYFUNCTION("""COMPUTED_VALUE"""),"control")</f>
        <v>control</v>
      </c>
      <c r="D2563" s="1" t="str">
        <f>IFERROR(__xludf.DUMMYFUNCTION("""COMPUTED_VALUE"""),"old_page")</f>
        <v>old_page</v>
      </c>
      <c r="E2563" s="1">
        <f>IFERROR(__xludf.DUMMYFUNCTION("""COMPUTED_VALUE"""),0.0)</f>
        <v>0</v>
      </c>
    </row>
    <row r="2564">
      <c r="A2564" s="1">
        <f>IFERROR(__xludf.DUMMYFUNCTION("""COMPUTED_VALUE"""),745689.0)</f>
        <v>745689</v>
      </c>
      <c r="B2564" s="2">
        <f>IFERROR(__xludf.DUMMYFUNCTION("""COMPUTED_VALUE"""),42744.80402680022)</f>
        <v>42744.80403</v>
      </c>
      <c r="C2564" s="1" t="str">
        <f>IFERROR(__xludf.DUMMYFUNCTION("""COMPUTED_VALUE"""),"control")</f>
        <v>control</v>
      </c>
      <c r="D2564" s="1" t="str">
        <f>IFERROR(__xludf.DUMMYFUNCTION("""COMPUTED_VALUE"""),"old_page")</f>
        <v>old_page</v>
      </c>
      <c r="E2564" s="1">
        <f>IFERROR(__xludf.DUMMYFUNCTION("""COMPUTED_VALUE"""),0.0)</f>
        <v>0</v>
      </c>
    </row>
    <row r="2565">
      <c r="A2565" s="1">
        <f>IFERROR(__xludf.DUMMYFUNCTION("""COMPUTED_VALUE"""),678300.0)</f>
        <v>678300</v>
      </c>
      <c r="B2565" s="2">
        <f>IFERROR(__xludf.DUMMYFUNCTION("""COMPUTED_VALUE"""),42756.85665640987)</f>
        <v>42756.85666</v>
      </c>
      <c r="C2565" s="1" t="str">
        <f>IFERROR(__xludf.DUMMYFUNCTION("""COMPUTED_VALUE"""),"treatment")</f>
        <v>treatment</v>
      </c>
      <c r="D2565" s="1" t="str">
        <f>IFERROR(__xludf.DUMMYFUNCTION("""COMPUTED_VALUE"""),"new_page")</f>
        <v>new_page</v>
      </c>
      <c r="E2565" s="1">
        <f>IFERROR(__xludf.DUMMYFUNCTION("""COMPUTED_VALUE"""),0.0)</f>
        <v>0</v>
      </c>
    </row>
    <row r="2566">
      <c r="A2566" s="1">
        <f>IFERROR(__xludf.DUMMYFUNCTION("""COMPUTED_VALUE"""),783537.0)</f>
        <v>783537</v>
      </c>
      <c r="B2566" s="2">
        <f>IFERROR(__xludf.DUMMYFUNCTION("""COMPUTED_VALUE"""),42754.192859693256)</f>
        <v>42754.19286</v>
      </c>
      <c r="C2566" s="1" t="str">
        <f>IFERROR(__xludf.DUMMYFUNCTION("""COMPUTED_VALUE"""),"treatment")</f>
        <v>treatment</v>
      </c>
      <c r="D2566" s="1" t="str">
        <f>IFERROR(__xludf.DUMMYFUNCTION("""COMPUTED_VALUE"""),"new_page")</f>
        <v>new_page</v>
      </c>
      <c r="E2566" s="1">
        <f>IFERROR(__xludf.DUMMYFUNCTION("""COMPUTED_VALUE"""),0.0)</f>
        <v>0</v>
      </c>
    </row>
    <row r="2567">
      <c r="A2567" s="1">
        <f>IFERROR(__xludf.DUMMYFUNCTION("""COMPUTED_VALUE"""),634703.0)</f>
        <v>634703</v>
      </c>
      <c r="B2567" s="2">
        <f>IFERROR(__xludf.DUMMYFUNCTION("""COMPUTED_VALUE"""),42751.302461495085)</f>
        <v>42751.30246</v>
      </c>
      <c r="C2567" s="1" t="str">
        <f>IFERROR(__xludf.DUMMYFUNCTION("""COMPUTED_VALUE"""),"control")</f>
        <v>control</v>
      </c>
      <c r="D2567" s="1" t="str">
        <f>IFERROR(__xludf.DUMMYFUNCTION("""COMPUTED_VALUE"""),"old_page")</f>
        <v>old_page</v>
      </c>
      <c r="E2567" s="1">
        <f>IFERROR(__xludf.DUMMYFUNCTION("""COMPUTED_VALUE"""),0.0)</f>
        <v>0</v>
      </c>
    </row>
    <row r="2568">
      <c r="A2568" s="1">
        <f>IFERROR(__xludf.DUMMYFUNCTION("""COMPUTED_VALUE"""),630665.0)</f>
        <v>630665</v>
      </c>
      <c r="B2568" s="2">
        <f>IFERROR(__xludf.DUMMYFUNCTION("""COMPUTED_VALUE"""),42740.85511522903)</f>
        <v>42740.85512</v>
      </c>
      <c r="C2568" s="1" t="str">
        <f>IFERROR(__xludf.DUMMYFUNCTION("""COMPUTED_VALUE"""),"control")</f>
        <v>control</v>
      </c>
      <c r="D2568" s="1" t="str">
        <f>IFERROR(__xludf.DUMMYFUNCTION("""COMPUTED_VALUE"""),"old_page")</f>
        <v>old_page</v>
      </c>
      <c r="E2568" s="1">
        <f>IFERROR(__xludf.DUMMYFUNCTION("""COMPUTED_VALUE"""),1.0)</f>
        <v>1</v>
      </c>
    </row>
    <row r="2569">
      <c r="A2569" s="1">
        <f>IFERROR(__xludf.DUMMYFUNCTION("""COMPUTED_VALUE"""),832764.0)</f>
        <v>832764</v>
      </c>
      <c r="B2569" s="2">
        <f>IFERROR(__xludf.DUMMYFUNCTION("""COMPUTED_VALUE"""),42743.024448530115)</f>
        <v>42743.02445</v>
      </c>
      <c r="C2569" s="1" t="str">
        <f>IFERROR(__xludf.DUMMYFUNCTION("""COMPUTED_VALUE"""),"treatment")</f>
        <v>treatment</v>
      </c>
      <c r="D2569" s="1" t="str">
        <f>IFERROR(__xludf.DUMMYFUNCTION("""COMPUTED_VALUE"""),"new_page")</f>
        <v>new_page</v>
      </c>
      <c r="E2569" s="1">
        <f>IFERROR(__xludf.DUMMYFUNCTION("""COMPUTED_VALUE"""),0.0)</f>
        <v>0</v>
      </c>
    </row>
    <row r="2570">
      <c r="A2570" s="1">
        <f>IFERROR(__xludf.DUMMYFUNCTION("""COMPUTED_VALUE"""),631991.0)</f>
        <v>631991</v>
      </c>
      <c r="B2570" s="2">
        <f>IFERROR(__xludf.DUMMYFUNCTION("""COMPUTED_VALUE"""),42752.06908153554)</f>
        <v>42752.06908</v>
      </c>
      <c r="C2570" s="1" t="str">
        <f>IFERROR(__xludf.DUMMYFUNCTION("""COMPUTED_VALUE"""),"treatment")</f>
        <v>treatment</v>
      </c>
      <c r="D2570" s="1" t="str">
        <f>IFERROR(__xludf.DUMMYFUNCTION("""COMPUTED_VALUE"""),"new_page")</f>
        <v>new_page</v>
      </c>
      <c r="E2570" s="1">
        <f>IFERROR(__xludf.DUMMYFUNCTION("""COMPUTED_VALUE"""),0.0)</f>
        <v>0</v>
      </c>
    </row>
    <row r="2571">
      <c r="A2571" s="1">
        <f>IFERROR(__xludf.DUMMYFUNCTION("""COMPUTED_VALUE"""),880399.0)</f>
        <v>880399</v>
      </c>
      <c r="B2571" s="2">
        <f>IFERROR(__xludf.DUMMYFUNCTION("""COMPUTED_VALUE"""),42751.49641019828)</f>
        <v>42751.49641</v>
      </c>
      <c r="C2571" s="1" t="str">
        <f>IFERROR(__xludf.DUMMYFUNCTION("""COMPUTED_VALUE"""),"treatment")</f>
        <v>treatment</v>
      </c>
      <c r="D2571" s="1" t="str">
        <f>IFERROR(__xludf.DUMMYFUNCTION("""COMPUTED_VALUE"""),"new_page")</f>
        <v>new_page</v>
      </c>
      <c r="E2571" s="1">
        <f>IFERROR(__xludf.DUMMYFUNCTION("""COMPUTED_VALUE"""),0.0)</f>
        <v>0</v>
      </c>
    </row>
    <row r="2572">
      <c r="A2572" s="1">
        <f>IFERROR(__xludf.DUMMYFUNCTION("""COMPUTED_VALUE"""),893443.0)</f>
        <v>893443</v>
      </c>
      <c r="B2572" s="2">
        <f>IFERROR(__xludf.DUMMYFUNCTION("""COMPUTED_VALUE"""),42751.25905648438)</f>
        <v>42751.25906</v>
      </c>
      <c r="C2572" s="1" t="str">
        <f>IFERROR(__xludf.DUMMYFUNCTION("""COMPUTED_VALUE"""),"control")</f>
        <v>control</v>
      </c>
      <c r="D2572" s="1" t="str">
        <f>IFERROR(__xludf.DUMMYFUNCTION("""COMPUTED_VALUE"""),"old_page")</f>
        <v>old_page</v>
      </c>
      <c r="E2572" s="1">
        <f>IFERROR(__xludf.DUMMYFUNCTION("""COMPUTED_VALUE"""),0.0)</f>
        <v>0</v>
      </c>
    </row>
    <row r="2573">
      <c r="A2573" s="1">
        <f>IFERROR(__xludf.DUMMYFUNCTION("""COMPUTED_VALUE"""),779575.0)</f>
        <v>779575</v>
      </c>
      <c r="B2573" s="2">
        <f>IFERROR(__xludf.DUMMYFUNCTION("""COMPUTED_VALUE"""),42758.309587269156)</f>
        <v>42758.30959</v>
      </c>
      <c r="C2573" s="1" t="str">
        <f>IFERROR(__xludf.DUMMYFUNCTION("""COMPUTED_VALUE"""),"treatment")</f>
        <v>treatment</v>
      </c>
      <c r="D2573" s="1" t="str">
        <f>IFERROR(__xludf.DUMMYFUNCTION("""COMPUTED_VALUE"""),"new_page")</f>
        <v>new_page</v>
      </c>
      <c r="E2573" s="1">
        <f>IFERROR(__xludf.DUMMYFUNCTION("""COMPUTED_VALUE"""),0.0)</f>
        <v>0</v>
      </c>
    </row>
    <row r="2574">
      <c r="A2574" s="1">
        <f>IFERROR(__xludf.DUMMYFUNCTION("""COMPUTED_VALUE"""),760554.0)</f>
        <v>760554</v>
      </c>
      <c r="B2574" s="2">
        <f>IFERROR(__xludf.DUMMYFUNCTION("""COMPUTED_VALUE"""),42748.11704648477)</f>
        <v>42748.11705</v>
      </c>
      <c r="C2574" s="1" t="str">
        <f>IFERROR(__xludf.DUMMYFUNCTION("""COMPUTED_VALUE"""),"control")</f>
        <v>control</v>
      </c>
      <c r="D2574" s="1" t="str">
        <f>IFERROR(__xludf.DUMMYFUNCTION("""COMPUTED_VALUE"""),"old_page")</f>
        <v>old_page</v>
      </c>
      <c r="E2574" s="1">
        <f>IFERROR(__xludf.DUMMYFUNCTION("""COMPUTED_VALUE"""),0.0)</f>
        <v>0</v>
      </c>
    </row>
    <row r="2575">
      <c r="A2575" s="1">
        <f>IFERROR(__xludf.DUMMYFUNCTION("""COMPUTED_VALUE"""),683773.0)</f>
        <v>683773</v>
      </c>
      <c r="B2575" s="2">
        <f>IFERROR(__xludf.DUMMYFUNCTION("""COMPUTED_VALUE"""),42745.0612800022)</f>
        <v>42745.06128</v>
      </c>
      <c r="C2575" s="1" t="str">
        <f>IFERROR(__xludf.DUMMYFUNCTION("""COMPUTED_VALUE"""),"treatment")</f>
        <v>treatment</v>
      </c>
      <c r="D2575" s="1" t="str">
        <f>IFERROR(__xludf.DUMMYFUNCTION("""COMPUTED_VALUE"""),"new_page")</f>
        <v>new_page</v>
      </c>
      <c r="E2575" s="1">
        <f>IFERROR(__xludf.DUMMYFUNCTION("""COMPUTED_VALUE"""),0.0)</f>
        <v>0</v>
      </c>
    </row>
    <row r="2576">
      <c r="A2576" s="1">
        <f>IFERROR(__xludf.DUMMYFUNCTION("""COMPUTED_VALUE"""),790124.0)</f>
        <v>790124</v>
      </c>
      <c r="B2576" s="2">
        <f>IFERROR(__xludf.DUMMYFUNCTION("""COMPUTED_VALUE"""),42744.786605981884)</f>
        <v>42744.78661</v>
      </c>
      <c r="C2576" s="1" t="str">
        <f>IFERROR(__xludf.DUMMYFUNCTION("""COMPUTED_VALUE"""),"treatment")</f>
        <v>treatment</v>
      </c>
      <c r="D2576" s="1" t="str">
        <f>IFERROR(__xludf.DUMMYFUNCTION("""COMPUTED_VALUE"""),"new_page")</f>
        <v>new_page</v>
      </c>
      <c r="E2576" s="1">
        <f>IFERROR(__xludf.DUMMYFUNCTION("""COMPUTED_VALUE"""),0.0)</f>
        <v>0</v>
      </c>
    </row>
    <row r="2577">
      <c r="A2577" s="1">
        <f>IFERROR(__xludf.DUMMYFUNCTION("""COMPUTED_VALUE"""),792213.0)</f>
        <v>792213</v>
      </c>
      <c r="B2577" s="2">
        <f>IFERROR(__xludf.DUMMYFUNCTION("""COMPUTED_VALUE"""),42738.784091485206)</f>
        <v>42738.78409</v>
      </c>
      <c r="C2577" s="1" t="str">
        <f>IFERROR(__xludf.DUMMYFUNCTION("""COMPUTED_VALUE"""),"control")</f>
        <v>control</v>
      </c>
      <c r="D2577" s="1" t="str">
        <f>IFERROR(__xludf.DUMMYFUNCTION("""COMPUTED_VALUE"""),"old_page")</f>
        <v>old_page</v>
      </c>
      <c r="E2577" s="1">
        <f>IFERROR(__xludf.DUMMYFUNCTION("""COMPUTED_VALUE"""),0.0)</f>
        <v>0</v>
      </c>
    </row>
    <row r="2578">
      <c r="A2578" s="1">
        <f>IFERROR(__xludf.DUMMYFUNCTION("""COMPUTED_VALUE"""),718970.0)</f>
        <v>718970</v>
      </c>
      <c r="B2578" s="2">
        <f>IFERROR(__xludf.DUMMYFUNCTION("""COMPUTED_VALUE"""),42757.16773852049)</f>
        <v>42757.16774</v>
      </c>
      <c r="C2578" s="1" t="str">
        <f>IFERROR(__xludf.DUMMYFUNCTION("""COMPUTED_VALUE"""),"treatment")</f>
        <v>treatment</v>
      </c>
      <c r="D2578" s="1" t="str">
        <f>IFERROR(__xludf.DUMMYFUNCTION("""COMPUTED_VALUE"""),"new_page")</f>
        <v>new_page</v>
      </c>
      <c r="E2578" s="1">
        <f>IFERROR(__xludf.DUMMYFUNCTION("""COMPUTED_VALUE"""),0.0)</f>
        <v>0</v>
      </c>
    </row>
    <row r="2579">
      <c r="A2579" s="1">
        <f>IFERROR(__xludf.DUMMYFUNCTION("""COMPUTED_VALUE"""),860692.0)</f>
        <v>860692</v>
      </c>
      <c r="B2579" s="2">
        <f>IFERROR(__xludf.DUMMYFUNCTION("""COMPUTED_VALUE"""),42755.9413889645)</f>
        <v>42755.94139</v>
      </c>
      <c r="C2579" s="1" t="str">
        <f>IFERROR(__xludf.DUMMYFUNCTION("""COMPUTED_VALUE"""),"control")</f>
        <v>control</v>
      </c>
      <c r="D2579" s="1" t="str">
        <f>IFERROR(__xludf.DUMMYFUNCTION("""COMPUTED_VALUE"""),"old_page")</f>
        <v>old_page</v>
      </c>
      <c r="E2579" s="1">
        <f>IFERROR(__xludf.DUMMYFUNCTION("""COMPUTED_VALUE"""),0.0)</f>
        <v>0</v>
      </c>
    </row>
    <row r="2580">
      <c r="A2580" s="1">
        <f>IFERROR(__xludf.DUMMYFUNCTION("""COMPUTED_VALUE"""),782975.0)</f>
        <v>782975</v>
      </c>
      <c r="B2580" s="2">
        <f>IFERROR(__xludf.DUMMYFUNCTION("""COMPUTED_VALUE"""),42751.03234803338)</f>
        <v>42751.03235</v>
      </c>
      <c r="C2580" s="1" t="str">
        <f>IFERROR(__xludf.DUMMYFUNCTION("""COMPUTED_VALUE"""),"treatment")</f>
        <v>treatment</v>
      </c>
      <c r="D2580" s="1" t="str">
        <f>IFERROR(__xludf.DUMMYFUNCTION("""COMPUTED_VALUE"""),"new_page")</f>
        <v>new_page</v>
      </c>
      <c r="E2580" s="1">
        <f>IFERROR(__xludf.DUMMYFUNCTION("""COMPUTED_VALUE"""),0.0)</f>
        <v>0</v>
      </c>
    </row>
    <row r="2581">
      <c r="A2581" s="1">
        <f>IFERROR(__xludf.DUMMYFUNCTION("""COMPUTED_VALUE"""),766222.0)</f>
        <v>766222</v>
      </c>
      <c r="B2581" s="2">
        <f>IFERROR(__xludf.DUMMYFUNCTION("""COMPUTED_VALUE"""),42754.35283329018)</f>
        <v>42754.35283</v>
      </c>
      <c r="C2581" s="1" t="str">
        <f>IFERROR(__xludf.DUMMYFUNCTION("""COMPUTED_VALUE"""),"control")</f>
        <v>control</v>
      </c>
      <c r="D2581" s="1" t="str">
        <f>IFERROR(__xludf.DUMMYFUNCTION("""COMPUTED_VALUE"""),"old_page")</f>
        <v>old_page</v>
      </c>
      <c r="E2581" s="1">
        <f>IFERROR(__xludf.DUMMYFUNCTION("""COMPUTED_VALUE"""),0.0)</f>
        <v>0</v>
      </c>
    </row>
    <row r="2582">
      <c r="A2582" s="1">
        <f>IFERROR(__xludf.DUMMYFUNCTION("""COMPUTED_VALUE"""),687783.0)</f>
        <v>687783</v>
      </c>
      <c r="B2582" s="2">
        <f>IFERROR(__xludf.DUMMYFUNCTION("""COMPUTED_VALUE"""),42756.131600966364)</f>
        <v>42756.1316</v>
      </c>
      <c r="C2582" s="1" t="str">
        <f>IFERROR(__xludf.DUMMYFUNCTION("""COMPUTED_VALUE"""),"treatment")</f>
        <v>treatment</v>
      </c>
      <c r="D2582" s="1" t="str">
        <f>IFERROR(__xludf.DUMMYFUNCTION("""COMPUTED_VALUE"""),"new_page")</f>
        <v>new_page</v>
      </c>
      <c r="E2582" s="1">
        <f>IFERROR(__xludf.DUMMYFUNCTION("""COMPUTED_VALUE"""),0.0)</f>
        <v>0</v>
      </c>
    </row>
    <row r="2583">
      <c r="A2583" s="1">
        <f>IFERROR(__xludf.DUMMYFUNCTION("""COMPUTED_VALUE"""),656004.0)</f>
        <v>656004</v>
      </c>
      <c r="B2583" s="2">
        <f>IFERROR(__xludf.DUMMYFUNCTION("""COMPUTED_VALUE"""),42753.09850273842)</f>
        <v>42753.0985</v>
      </c>
      <c r="C2583" s="1" t="str">
        <f>IFERROR(__xludf.DUMMYFUNCTION("""COMPUTED_VALUE"""),"treatment")</f>
        <v>treatment</v>
      </c>
      <c r="D2583" s="1" t="str">
        <f>IFERROR(__xludf.DUMMYFUNCTION("""COMPUTED_VALUE"""),"new_page")</f>
        <v>new_page</v>
      </c>
      <c r="E2583" s="1">
        <f>IFERROR(__xludf.DUMMYFUNCTION("""COMPUTED_VALUE"""),0.0)</f>
        <v>0</v>
      </c>
    </row>
    <row r="2584">
      <c r="A2584" s="1">
        <f>IFERROR(__xludf.DUMMYFUNCTION("""COMPUTED_VALUE"""),889206.0)</f>
        <v>889206</v>
      </c>
      <c r="B2584" s="2">
        <f>IFERROR(__xludf.DUMMYFUNCTION("""COMPUTED_VALUE"""),42751.5822609906)</f>
        <v>42751.58226</v>
      </c>
      <c r="C2584" s="1" t="str">
        <f>IFERROR(__xludf.DUMMYFUNCTION("""COMPUTED_VALUE"""),"treatment")</f>
        <v>treatment</v>
      </c>
      <c r="D2584" s="1" t="str">
        <f>IFERROR(__xludf.DUMMYFUNCTION("""COMPUTED_VALUE"""),"new_page")</f>
        <v>new_page</v>
      </c>
      <c r="E2584" s="1">
        <f>IFERROR(__xludf.DUMMYFUNCTION("""COMPUTED_VALUE"""),0.0)</f>
        <v>0</v>
      </c>
    </row>
    <row r="2585">
      <c r="A2585" s="1">
        <f>IFERROR(__xludf.DUMMYFUNCTION("""COMPUTED_VALUE"""),803172.0)</f>
        <v>803172</v>
      </c>
      <c r="B2585" s="2">
        <f>IFERROR(__xludf.DUMMYFUNCTION("""COMPUTED_VALUE"""),42750.8968627483)</f>
        <v>42750.89686</v>
      </c>
      <c r="C2585" s="1" t="str">
        <f>IFERROR(__xludf.DUMMYFUNCTION("""COMPUTED_VALUE"""),"control")</f>
        <v>control</v>
      </c>
      <c r="D2585" s="1" t="str">
        <f>IFERROR(__xludf.DUMMYFUNCTION("""COMPUTED_VALUE"""),"old_page")</f>
        <v>old_page</v>
      </c>
      <c r="E2585" s="1">
        <f>IFERROR(__xludf.DUMMYFUNCTION("""COMPUTED_VALUE"""),0.0)</f>
        <v>0</v>
      </c>
    </row>
    <row r="2586">
      <c r="A2586" s="1">
        <f>IFERROR(__xludf.DUMMYFUNCTION("""COMPUTED_VALUE"""),635303.0)</f>
        <v>635303</v>
      </c>
      <c r="B2586" s="2">
        <f>IFERROR(__xludf.DUMMYFUNCTION("""COMPUTED_VALUE"""),42759.440214757895)</f>
        <v>42759.44021</v>
      </c>
      <c r="C2586" s="1" t="str">
        <f>IFERROR(__xludf.DUMMYFUNCTION("""COMPUTED_VALUE"""),"control")</f>
        <v>control</v>
      </c>
      <c r="D2586" s="1" t="str">
        <f>IFERROR(__xludf.DUMMYFUNCTION("""COMPUTED_VALUE"""),"old_page")</f>
        <v>old_page</v>
      </c>
      <c r="E2586" s="1">
        <f>IFERROR(__xludf.DUMMYFUNCTION("""COMPUTED_VALUE"""),0.0)</f>
        <v>0</v>
      </c>
    </row>
    <row r="2587">
      <c r="A2587" s="1">
        <f>IFERROR(__xludf.DUMMYFUNCTION("""COMPUTED_VALUE"""),652915.0)</f>
        <v>652915</v>
      </c>
      <c r="B2587" s="2">
        <f>IFERROR(__xludf.DUMMYFUNCTION("""COMPUTED_VALUE"""),42743.78056261083)</f>
        <v>42743.78056</v>
      </c>
      <c r="C2587" s="1" t="str">
        <f>IFERROR(__xludf.DUMMYFUNCTION("""COMPUTED_VALUE"""),"control")</f>
        <v>control</v>
      </c>
      <c r="D2587" s="1" t="str">
        <f>IFERROR(__xludf.DUMMYFUNCTION("""COMPUTED_VALUE"""),"old_page")</f>
        <v>old_page</v>
      </c>
      <c r="E2587" s="1">
        <f>IFERROR(__xludf.DUMMYFUNCTION("""COMPUTED_VALUE"""),0.0)</f>
        <v>0</v>
      </c>
    </row>
    <row r="2588">
      <c r="A2588" s="1">
        <f>IFERROR(__xludf.DUMMYFUNCTION("""COMPUTED_VALUE"""),732909.0)</f>
        <v>732909</v>
      </c>
      <c r="B2588" s="2">
        <f>IFERROR(__xludf.DUMMYFUNCTION("""COMPUTED_VALUE"""),42743.25059406855)</f>
        <v>42743.25059</v>
      </c>
      <c r="C2588" s="1" t="str">
        <f>IFERROR(__xludf.DUMMYFUNCTION("""COMPUTED_VALUE"""),"control")</f>
        <v>control</v>
      </c>
      <c r="D2588" s="1" t="str">
        <f>IFERROR(__xludf.DUMMYFUNCTION("""COMPUTED_VALUE"""),"old_page")</f>
        <v>old_page</v>
      </c>
      <c r="E2588" s="1">
        <f>IFERROR(__xludf.DUMMYFUNCTION("""COMPUTED_VALUE"""),0.0)</f>
        <v>0</v>
      </c>
    </row>
    <row r="2589">
      <c r="A2589" s="1">
        <f>IFERROR(__xludf.DUMMYFUNCTION("""COMPUTED_VALUE"""),904209.0)</f>
        <v>904209</v>
      </c>
      <c r="B2589" s="2">
        <f>IFERROR(__xludf.DUMMYFUNCTION("""COMPUTED_VALUE"""),42742.800576795176)</f>
        <v>42742.80058</v>
      </c>
      <c r="C2589" s="1" t="str">
        <f>IFERROR(__xludf.DUMMYFUNCTION("""COMPUTED_VALUE"""),"control")</f>
        <v>control</v>
      </c>
      <c r="D2589" s="1" t="str">
        <f>IFERROR(__xludf.DUMMYFUNCTION("""COMPUTED_VALUE"""),"old_page")</f>
        <v>old_page</v>
      </c>
      <c r="E2589" s="1">
        <f>IFERROR(__xludf.DUMMYFUNCTION("""COMPUTED_VALUE"""),0.0)</f>
        <v>0</v>
      </c>
    </row>
    <row r="2590">
      <c r="A2590" s="1">
        <f>IFERROR(__xludf.DUMMYFUNCTION("""COMPUTED_VALUE"""),928732.0)</f>
        <v>928732</v>
      </c>
      <c r="B2590" s="2">
        <f>IFERROR(__xludf.DUMMYFUNCTION("""COMPUTED_VALUE"""),42752.87739128587)</f>
        <v>42752.87739</v>
      </c>
      <c r="C2590" s="1" t="str">
        <f>IFERROR(__xludf.DUMMYFUNCTION("""COMPUTED_VALUE"""),"treatment")</f>
        <v>treatment</v>
      </c>
      <c r="D2590" s="1" t="str">
        <f>IFERROR(__xludf.DUMMYFUNCTION("""COMPUTED_VALUE"""),"new_page")</f>
        <v>new_page</v>
      </c>
      <c r="E2590" s="1">
        <f>IFERROR(__xludf.DUMMYFUNCTION("""COMPUTED_VALUE"""),0.0)</f>
        <v>0</v>
      </c>
    </row>
    <row r="2591">
      <c r="A2591" s="1">
        <f>IFERROR(__xludf.DUMMYFUNCTION("""COMPUTED_VALUE"""),634630.0)</f>
        <v>634630</v>
      </c>
      <c r="B2591" s="2">
        <f>IFERROR(__xludf.DUMMYFUNCTION("""COMPUTED_VALUE"""),42750.77690854125)</f>
        <v>42750.77691</v>
      </c>
      <c r="C2591" s="1" t="str">
        <f>IFERROR(__xludf.DUMMYFUNCTION("""COMPUTED_VALUE"""),"treatment")</f>
        <v>treatment</v>
      </c>
      <c r="D2591" s="1" t="str">
        <f>IFERROR(__xludf.DUMMYFUNCTION("""COMPUTED_VALUE"""),"new_page")</f>
        <v>new_page</v>
      </c>
      <c r="E2591" s="1">
        <f>IFERROR(__xludf.DUMMYFUNCTION("""COMPUTED_VALUE"""),0.0)</f>
        <v>0</v>
      </c>
    </row>
    <row r="2592">
      <c r="A2592" s="1">
        <f>IFERROR(__xludf.DUMMYFUNCTION("""COMPUTED_VALUE"""),889640.0)</f>
        <v>889640</v>
      </c>
      <c r="B2592" s="2">
        <f>IFERROR(__xludf.DUMMYFUNCTION("""COMPUTED_VALUE"""),42756.60333653136)</f>
        <v>42756.60334</v>
      </c>
      <c r="C2592" s="1" t="str">
        <f>IFERROR(__xludf.DUMMYFUNCTION("""COMPUTED_VALUE"""),"treatment")</f>
        <v>treatment</v>
      </c>
      <c r="D2592" s="1" t="str">
        <f>IFERROR(__xludf.DUMMYFUNCTION("""COMPUTED_VALUE"""),"new_page")</f>
        <v>new_page</v>
      </c>
      <c r="E2592" s="1">
        <f>IFERROR(__xludf.DUMMYFUNCTION("""COMPUTED_VALUE"""),0.0)</f>
        <v>0</v>
      </c>
    </row>
    <row r="2593">
      <c r="A2593" s="1">
        <f>IFERROR(__xludf.DUMMYFUNCTION("""COMPUTED_VALUE"""),745798.0)</f>
        <v>745798</v>
      </c>
      <c r="B2593" s="2">
        <f>IFERROR(__xludf.DUMMYFUNCTION("""COMPUTED_VALUE"""),42747.57265799568)</f>
        <v>42747.57266</v>
      </c>
      <c r="C2593" s="1" t="str">
        <f>IFERROR(__xludf.DUMMYFUNCTION("""COMPUTED_VALUE"""),"control")</f>
        <v>control</v>
      </c>
      <c r="D2593" s="1" t="str">
        <f>IFERROR(__xludf.DUMMYFUNCTION("""COMPUTED_VALUE"""),"old_page")</f>
        <v>old_page</v>
      </c>
      <c r="E2593" s="1">
        <f>IFERROR(__xludf.DUMMYFUNCTION("""COMPUTED_VALUE"""),0.0)</f>
        <v>0</v>
      </c>
    </row>
    <row r="2594">
      <c r="A2594" s="1">
        <f>IFERROR(__xludf.DUMMYFUNCTION("""COMPUTED_VALUE"""),907625.0)</f>
        <v>907625</v>
      </c>
      <c r="B2594" s="2">
        <f>IFERROR(__xludf.DUMMYFUNCTION("""COMPUTED_VALUE"""),42743.77471983237)</f>
        <v>42743.77472</v>
      </c>
      <c r="C2594" s="1" t="str">
        <f>IFERROR(__xludf.DUMMYFUNCTION("""COMPUTED_VALUE"""),"control")</f>
        <v>control</v>
      </c>
      <c r="D2594" s="1" t="str">
        <f>IFERROR(__xludf.DUMMYFUNCTION("""COMPUTED_VALUE"""),"old_page")</f>
        <v>old_page</v>
      </c>
      <c r="E2594" s="1">
        <f>IFERROR(__xludf.DUMMYFUNCTION("""COMPUTED_VALUE"""),0.0)</f>
        <v>0</v>
      </c>
    </row>
    <row r="2595">
      <c r="A2595" s="1">
        <f>IFERROR(__xludf.DUMMYFUNCTION("""COMPUTED_VALUE"""),885865.0)</f>
        <v>885865</v>
      </c>
      <c r="B2595" s="2">
        <f>IFERROR(__xludf.DUMMYFUNCTION("""COMPUTED_VALUE"""),42756.818209874575)</f>
        <v>42756.81821</v>
      </c>
      <c r="C2595" s="1" t="str">
        <f>IFERROR(__xludf.DUMMYFUNCTION("""COMPUTED_VALUE"""),"control")</f>
        <v>control</v>
      </c>
      <c r="D2595" s="1" t="str">
        <f>IFERROR(__xludf.DUMMYFUNCTION("""COMPUTED_VALUE"""),"old_page")</f>
        <v>old_page</v>
      </c>
      <c r="E2595" s="1">
        <f>IFERROR(__xludf.DUMMYFUNCTION("""COMPUTED_VALUE"""),0.0)</f>
        <v>0</v>
      </c>
    </row>
    <row r="2596">
      <c r="A2596" s="1">
        <f>IFERROR(__xludf.DUMMYFUNCTION("""COMPUTED_VALUE"""),906573.0)</f>
        <v>906573</v>
      </c>
      <c r="B2596" s="2">
        <f>IFERROR(__xludf.DUMMYFUNCTION("""COMPUTED_VALUE"""),42754.52258788062)</f>
        <v>42754.52259</v>
      </c>
      <c r="C2596" s="1" t="str">
        <f>IFERROR(__xludf.DUMMYFUNCTION("""COMPUTED_VALUE"""),"treatment")</f>
        <v>treatment</v>
      </c>
      <c r="D2596" s="1" t="str">
        <f>IFERROR(__xludf.DUMMYFUNCTION("""COMPUTED_VALUE"""),"new_page")</f>
        <v>new_page</v>
      </c>
      <c r="E2596" s="1">
        <f>IFERROR(__xludf.DUMMYFUNCTION("""COMPUTED_VALUE"""),1.0)</f>
        <v>1</v>
      </c>
    </row>
    <row r="2597">
      <c r="A2597" s="1">
        <f>IFERROR(__xludf.DUMMYFUNCTION("""COMPUTED_VALUE"""),927929.0)</f>
        <v>927929</v>
      </c>
      <c r="B2597" s="2">
        <f>IFERROR(__xludf.DUMMYFUNCTION("""COMPUTED_VALUE"""),42757.79346421186)</f>
        <v>42757.79346</v>
      </c>
      <c r="C2597" s="1" t="str">
        <f>IFERROR(__xludf.DUMMYFUNCTION("""COMPUTED_VALUE"""),"treatment")</f>
        <v>treatment</v>
      </c>
      <c r="D2597" s="1" t="str">
        <f>IFERROR(__xludf.DUMMYFUNCTION("""COMPUTED_VALUE"""),"new_page")</f>
        <v>new_page</v>
      </c>
      <c r="E2597" s="1">
        <f>IFERROR(__xludf.DUMMYFUNCTION("""COMPUTED_VALUE"""),0.0)</f>
        <v>0</v>
      </c>
    </row>
    <row r="2598">
      <c r="A2598" s="1">
        <f>IFERROR(__xludf.DUMMYFUNCTION("""COMPUTED_VALUE"""),929430.0)</f>
        <v>929430</v>
      </c>
      <c r="B2598" s="2">
        <f>IFERROR(__xludf.DUMMYFUNCTION("""COMPUTED_VALUE"""),42745.4569882999)</f>
        <v>42745.45699</v>
      </c>
      <c r="C2598" s="1" t="str">
        <f>IFERROR(__xludf.DUMMYFUNCTION("""COMPUTED_VALUE"""),"control")</f>
        <v>control</v>
      </c>
      <c r="D2598" s="1" t="str">
        <f>IFERROR(__xludf.DUMMYFUNCTION("""COMPUTED_VALUE"""),"old_page")</f>
        <v>old_page</v>
      </c>
      <c r="E2598" s="1">
        <f>IFERROR(__xludf.DUMMYFUNCTION("""COMPUTED_VALUE"""),0.0)</f>
        <v>0</v>
      </c>
    </row>
    <row r="2599">
      <c r="A2599" s="1">
        <f>IFERROR(__xludf.DUMMYFUNCTION("""COMPUTED_VALUE"""),789031.0)</f>
        <v>789031</v>
      </c>
      <c r="B2599" s="2">
        <f>IFERROR(__xludf.DUMMYFUNCTION("""COMPUTED_VALUE"""),42741.31940105717)</f>
        <v>42741.3194</v>
      </c>
      <c r="C2599" s="1" t="str">
        <f>IFERROR(__xludf.DUMMYFUNCTION("""COMPUTED_VALUE"""),"control")</f>
        <v>control</v>
      </c>
      <c r="D2599" s="1" t="str">
        <f>IFERROR(__xludf.DUMMYFUNCTION("""COMPUTED_VALUE"""),"old_page")</f>
        <v>old_page</v>
      </c>
      <c r="E2599" s="1">
        <f>IFERROR(__xludf.DUMMYFUNCTION("""COMPUTED_VALUE"""),0.0)</f>
        <v>0</v>
      </c>
    </row>
    <row r="2600">
      <c r="A2600" s="1">
        <f>IFERROR(__xludf.DUMMYFUNCTION("""COMPUTED_VALUE"""),723005.0)</f>
        <v>723005</v>
      </c>
      <c r="B2600" s="2">
        <f>IFERROR(__xludf.DUMMYFUNCTION("""COMPUTED_VALUE"""),42749.535490800336)</f>
        <v>42749.53549</v>
      </c>
      <c r="C2600" s="1" t="str">
        <f>IFERROR(__xludf.DUMMYFUNCTION("""COMPUTED_VALUE"""),"control")</f>
        <v>control</v>
      </c>
      <c r="D2600" s="1" t="str">
        <f>IFERROR(__xludf.DUMMYFUNCTION("""COMPUTED_VALUE"""),"old_page")</f>
        <v>old_page</v>
      </c>
      <c r="E2600" s="1">
        <f>IFERROR(__xludf.DUMMYFUNCTION("""COMPUTED_VALUE"""),0.0)</f>
        <v>0</v>
      </c>
    </row>
    <row r="2601">
      <c r="A2601" s="1">
        <f>IFERROR(__xludf.DUMMYFUNCTION("""COMPUTED_VALUE"""),667812.0)</f>
        <v>667812</v>
      </c>
      <c r="B2601" s="2">
        <f>IFERROR(__xludf.DUMMYFUNCTION("""COMPUTED_VALUE"""),42750.93568614074)</f>
        <v>42750.93569</v>
      </c>
      <c r="C2601" s="1" t="str">
        <f>IFERROR(__xludf.DUMMYFUNCTION("""COMPUTED_VALUE"""),"treatment")</f>
        <v>treatment</v>
      </c>
      <c r="D2601" s="1" t="str">
        <f>IFERROR(__xludf.DUMMYFUNCTION("""COMPUTED_VALUE"""),"new_page")</f>
        <v>new_page</v>
      </c>
      <c r="E2601" s="1">
        <f>IFERROR(__xludf.DUMMYFUNCTION("""COMPUTED_VALUE"""),1.0)</f>
        <v>1</v>
      </c>
    </row>
    <row r="2602">
      <c r="A2602" s="1">
        <f>IFERROR(__xludf.DUMMYFUNCTION("""COMPUTED_VALUE"""),715257.0)</f>
        <v>715257</v>
      </c>
      <c r="B2602" s="2">
        <f>IFERROR(__xludf.DUMMYFUNCTION("""COMPUTED_VALUE"""),42749.35076990902)</f>
        <v>42749.35077</v>
      </c>
      <c r="C2602" s="1" t="str">
        <f>IFERROR(__xludf.DUMMYFUNCTION("""COMPUTED_VALUE"""),"control")</f>
        <v>control</v>
      </c>
      <c r="D2602" s="1" t="str">
        <f>IFERROR(__xludf.DUMMYFUNCTION("""COMPUTED_VALUE"""),"old_page")</f>
        <v>old_page</v>
      </c>
      <c r="E2602" s="1">
        <f>IFERROR(__xludf.DUMMYFUNCTION("""COMPUTED_VALUE"""),0.0)</f>
        <v>0</v>
      </c>
    </row>
    <row r="2603">
      <c r="A2603" s="1">
        <f>IFERROR(__xludf.DUMMYFUNCTION("""COMPUTED_VALUE"""),643178.0)</f>
        <v>643178</v>
      </c>
      <c r="B2603" s="2">
        <f>IFERROR(__xludf.DUMMYFUNCTION("""COMPUTED_VALUE"""),42740.59149456128)</f>
        <v>42740.59149</v>
      </c>
      <c r="C2603" s="1" t="str">
        <f>IFERROR(__xludf.DUMMYFUNCTION("""COMPUTED_VALUE"""),"control")</f>
        <v>control</v>
      </c>
      <c r="D2603" s="1" t="str">
        <f>IFERROR(__xludf.DUMMYFUNCTION("""COMPUTED_VALUE"""),"old_page")</f>
        <v>old_page</v>
      </c>
      <c r="E2603" s="1">
        <f>IFERROR(__xludf.DUMMYFUNCTION("""COMPUTED_VALUE"""),0.0)</f>
        <v>0</v>
      </c>
    </row>
    <row r="2604">
      <c r="A2604" s="1">
        <f>IFERROR(__xludf.DUMMYFUNCTION("""COMPUTED_VALUE"""),741757.0)</f>
        <v>741757</v>
      </c>
      <c r="B2604" s="2">
        <f>IFERROR(__xludf.DUMMYFUNCTION("""COMPUTED_VALUE"""),42756.94613071486)</f>
        <v>42756.94613</v>
      </c>
      <c r="C2604" s="1" t="str">
        <f>IFERROR(__xludf.DUMMYFUNCTION("""COMPUTED_VALUE"""),"control")</f>
        <v>control</v>
      </c>
      <c r="D2604" s="1" t="str">
        <f>IFERROR(__xludf.DUMMYFUNCTION("""COMPUTED_VALUE"""),"old_page")</f>
        <v>old_page</v>
      </c>
      <c r="E2604" s="1">
        <f>IFERROR(__xludf.DUMMYFUNCTION("""COMPUTED_VALUE"""),0.0)</f>
        <v>0</v>
      </c>
    </row>
    <row r="2605">
      <c r="A2605" s="1">
        <f>IFERROR(__xludf.DUMMYFUNCTION("""COMPUTED_VALUE"""),914342.0)</f>
        <v>914342</v>
      </c>
      <c r="B2605" s="2">
        <f>IFERROR(__xludf.DUMMYFUNCTION("""COMPUTED_VALUE"""),42755.541127613156)</f>
        <v>42755.54113</v>
      </c>
      <c r="C2605" s="1" t="str">
        <f>IFERROR(__xludf.DUMMYFUNCTION("""COMPUTED_VALUE"""),"control")</f>
        <v>control</v>
      </c>
      <c r="D2605" s="1" t="str">
        <f>IFERROR(__xludf.DUMMYFUNCTION("""COMPUTED_VALUE"""),"old_page")</f>
        <v>old_page</v>
      </c>
      <c r="E2605" s="1">
        <f>IFERROR(__xludf.DUMMYFUNCTION("""COMPUTED_VALUE"""),0.0)</f>
        <v>0</v>
      </c>
    </row>
    <row r="2606">
      <c r="A2606" s="1">
        <f>IFERROR(__xludf.DUMMYFUNCTION("""COMPUTED_VALUE"""),826969.0)</f>
        <v>826969</v>
      </c>
      <c r="B2606" s="2">
        <f>IFERROR(__xludf.DUMMYFUNCTION("""COMPUTED_VALUE"""),42740.479857565646)</f>
        <v>42740.47986</v>
      </c>
      <c r="C2606" s="1" t="str">
        <f>IFERROR(__xludf.DUMMYFUNCTION("""COMPUTED_VALUE"""),"treatment")</f>
        <v>treatment</v>
      </c>
      <c r="D2606" s="1" t="str">
        <f>IFERROR(__xludf.DUMMYFUNCTION("""COMPUTED_VALUE"""),"new_page")</f>
        <v>new_page</v>
      </c>
      <c r="E2606" s="1">
        <f>IFERROR(__xludf.DUMMYFUNCTION("""COMPUTED_VALUE"""),0.0)</f>
        <v>0</v>
      </c>
    </row>
    <row r="2607">
      <c r="A2607" s="1">
        <f>IFERROR(__xludf.DUMMYFUNCTION("""COMPUTED_VALUE"""),889470.0)</f>
        <v>889470</v>
      </c>
      <c r="B2607" s="2">
        <f>IFERROR(__xludf.DUMMYFUNCTION("""COMPUTED_VALUE"""),42750.56253015971)</f>
        <v>42750.56253</v>
      </c>
      <c r="C2607" s="1" t="str">
        <f>IFERROR(__xludf.DUMMYFUNCTION("""COMPUTED_VALUE"""),"treatment")</f>
        <v>treatment</v>
      </c>
      <c r="D2607" s="1" t="str">
        <f>IFERROR(__xludf.DUMMYFUNCTION("""COMPUTED_VALUE"""),"new_page")</f>
        <v>new_page</v>
      </c>
      <c r="E2607" s="1">
        <f>IFERROR(__xludf.DUMMYFUNCTION("""COMPUTED_VALUE"""),1.0)</f>
        <v>1</v>
      </c>
    </row>
    <row r="2608">
      <c r="A2608" s="1">
        <f>IFERROR(__xludf.DUMMYFUNCTION("""COMPUTED_VALUE"""),926939.0)</f>
        <v>926939</v>
      </c>
      <c r="B2608" s="2">
        <f>IFERROR(__xludf.DUMMYFUNCTION("""COMPUTED_VALUE"""),42758.17646277301)</f>
        <v>42758.17646</v>
      </c>
      <c r="C2608" s="1" t="str">
        <f>IFERROR(__xludf.DUMMYFUNCTION("""COMPUTED_VALUE"""),"control")</f>
        <v>control</v>
      </c>
      <c r="D2608" s="1" t="str">
        <f>IFERROR(__xludf.DUMMYFUNCTION("""COMPUTED_VALUE"""),"old_page")</f>
        <v>old_page</v>
      </c>
      <c r="E2608" s="1">
        <f>IFERROR(__xludf.DUMMYFUNCTION("""COMPUTED_VALUE"""),0.0)</f>
        <v>0</v>
      </c>
    </row>
    <row r="2609">
      <c r="A2609" s="1">
        <f>IFERROR(__xludf.DUMMYFUNCTION("""COMPUTED_VALUE"""),664547.0)</f>
        <v>664547</v>
      </c>
      <c r="B2609" s="2">
        <f>IFERROR(__xludf.DUMMYFUNCTION("""COMPUTED_VALUE"""),42749.79234813132)</f>
        <v>42749.79235</v>
      </c>
      <c r="C2609" s="1" t="str">
        <f>IFERROR(__xludf.DUMMYFUNCTION("""COMPUTED_VALUE"""),"treatment")</f>
        <v>treatment</v>
      </c>
      <c r="D2609" s="1" t="str">
        <f>IFERROR(__xludf.DUMMYFUNCTION("""COMPUTED_VALUE"""),"new_page")</f>
        <v>new_page</v>
      </c>
      <c r="E2609" s="1">
        <f>IFERROR(__xludf.DUMMYFUNCTION("""COMPUTED_VALUE"""),0.0)</f>
        <v>0</v>
      </c>
    </row>
    <row r="2610">
      <c r="A2610" s="1">
        <f>IFERROR(__xludf.DUMMYFUNCTION("""COMPUTED_VALUE"""),901268.0)</f>
        <v>901268</v>
      </c>
      <c r="B2610" s="2">
        <f>IFERROR(__xludf.DUMMYFUNCTION("""COMPUTED_VALUE"""),42746.46473445983)</f>
        <v>42746.46473</v>
      </c>
      <c r="C2610" s="1" t="str">
        <f>IFERROR(__xludf.DUMMYFUNCTION("""COMPUTED_VALUE"""),"treatment")</f>
        <v>treatment</v>
      </c>
      <c r="D2610" s="1" t="str">
        <f>IFERROR(__xludf.DUMMYFUNCTION("""COMPUTED_VALUE"""),"new_page")</f>
        <v>new_page</v>
      </c>
      <c r="E2610" s="1">
        <f>IFERROR(__xludf.DUMMYFUNCTION("""COMPUTED_VALUE"""),0.0)</f>
        <v>0</v>
      </c>
    </row>
    <row r="2611">
      <c r="A2611" s="1">
        <f>IFERROR(__xludf.DUMMYFUNCTION("""COMPUTED_VALUE"""),843555.0)</f>
        <v>843555</v>
      </c>
      <c r="B2611" s="2">
        <f>IFERROR(__xludf.DUMMYFUNCTION("""COMPUTED_VALUE"""),42746.776345704064)</f>
        <v>42746.77635</v>
      </c>
      <c r="C2611" s="1" t="str">
        <f>IFERROR(__xludf.DUMMYFUNCTION("""COMPUTED_VALUE"""),"control")</f>
        <v>control</v>
      </c>
      <c r="D2611" s="1" t="str">
        <f>IFERROR(__xludf.DUMMYFUNCTION("""COMPUTED_VALUE"""),"old_page")</f>
        <v>old_page</v>
      </c>
      <c r="E2611" s="1">
        <f>IFERROR(__xludf.DUMMYFUNCTION("""COMPUTED_VALUE"""),0.0)</f>
        <v>0</v>
      </c>
    </row>
    <row r="2612">
      <c r="A2612" s="1">
        <f>IFERROR(__xludf.DUMMYFUNCTION("""COMPUTED_VALUE"""),821315.0)</f>
        <v>821315</v>
      </c>
      <c r="B2612" s="2">
        <f>IFERROR(__xludf.DUMMYFUNCTION("""COMPUTED_VALUE"""),42744.97507436418)</f>
        <v>42744.97507</v>
      </c>
      <c r="C2612" s="1" t="str">
        <f>IFERROR(__xludf.DUMMYFUNCTION("""COMPUTED_VALUE"""),"treatment")</f>
        <v>treatment</v>
      </c>
      <c r="D2612" s="1" t="str">
        <f>IFERROR(__xludf.DUMMYFUNCTION("""COMPUTED_VALUE"""),"new_page")</f>
        <v>new_page</v>
      </c>
      <c r="E2612" s="1">
        <f>IFERROR(__xludf.DUMMYFUNCTION("""COMPUTED_VALUE"""),0.0)</f>
        <v>0</v>
      </c>
    </row>
    <row r="2613">
      <c r="A2613" s="1">
        <f>IFERROR(__xludf.DUMMYFUNCTION("""COMPUTED_VALUE"""),739748.0)</f>
        <v>739748</v>
      </c>
      <c r="B2613" s="2">
        <f>IFERROR(__xludf.DUMMYFUNCTION("""COMPUTED_VALUE"""),42746.33702235122)</f>
        <v>42746.33702</v>
      </c>
      <c r="C2613" s="1" t="str">
        <f>IFERROR(__xludf.DUMMYFUNCTION("""COMPUTED_VALUE"""),"control")</f>
        <v>control</v>
      </c>
      <c r="D2613" s="1" t="str">
        <f>IFERROR(__xludf.DUMMYFUNCTION("""COMPUTED_VALUE"""),"old_page")</f>
        <v>old_page</v>
      </c>
      <c r="E2613" s="1">
        <f>IFERROR(__xludf.DUMMYFUNCTION("""COMPUTED_VALUE"""),0.0)</f>
        <v>0</v>
      </c>
    </row>
    <row r="2614">
      <c r="A2614" s="1">
        <f>IFERROR(__xludf.DUMMYFUNCTION("""COMPUTED_VALUE"""),826026.0)</f>
        <v>826026</v>
      </c>
      <c r="B2614" s="2">
        <f>IFERROR(__xludf.DUMMYFUNCTION("""COMPUTED_VALUE"""),42758.68766543055)</f>
        <v>42758.68767</v>
      </c>
      <c r="C2614" s="1" t="str">
        <f>IFERROR(__xludf.DUMMYFUNCTION("""COMPUTED_VALUE"""),"control")</f>
        <v>control</v>
      </c>
      <c r="D2614" s="1" t="str">
        <f>IFERROR(__xludf.DUMMYFUNCTION("""COMPUTED_VALUE"""),"old_page")</f>
        <v>old_page</v>
      </c>
      <c r="E2614" s="1">
        <f>IFERROR(__xludf.DUMMYFUNCTION("""COMPUTED_VALUE"""),0.0)</f>
        <v>0</v>
      </c>
    </row>
    <row r="2615">
      <c r="A2615" s="1">
        <f>IFERROR(__xludf.DUMMYFUNCTION("""COMPUTED_VALUE"""),890571.0)</f>
        <v>890571</v>
      </c>
      <c r="B2615" s="2">
        <f>IFERROR(__xludf.DUMMYFUNCTION("""COMPUTED_VALUE"""),42756.165427647364)</f>
        <v>42756.16543</v>
      </c>
      <c r="C2615" s="1" t="str">
        <f>IFERROR(__xludf.DUMMYFUNCTION("""COMPUTED_VALUE"""),"control")</f>
        <v>control</v>
      </c>
      <c r="D2615" s="1" t="str">
        <f>IFERROR(__xludf.DUMMYFUNCTION("""COMPUTED_VALUE"""),"old_page")</f>
        <v>old_page</v>
      </c>
      <c r="E2615" s="1">
        <f>IFERROR(__xludf.DUMMYFUNCTION("""COMPUTED_VALUE"""),0.0)</f>
        <v>0</v>
      </c>
    </row>
    <row r="2616">
      <c r="A2616" s="1">
        <f>IFERROR(__xludf.DUMMYFUNCTION("""COMPUTED_VALUE"""),631677.0)</f>
        <v>631677</v>
      </c>
      <c r="B2616" s="2">
        <f>IFERROR(__xludf.DUMMYFUNCTION("""COMPUTED_VALUE"""),42752.91407469915)</f>
        <v>42752.91407</v>
      </c>
      <c r="C2616" s="1" t="str">
        <f>IFERROR(__xludf.DUMMYFUNCTION("""COMPUTED_VALUE"""),"control")</f>
        <v>control</v>
      </c>
      <c r="D2616" s="1" t="str">
        <f>IFERROR(__xludf.DUMMYFUNCTION("""COMPUTED_VALUE"""),"old_page")</f>
        <v>old_page</v>
      </c>
      <c r="E2616" s="1">
        <f>IFERROR(__xludf.DUMMYFUNCTION("""COMPUTED_VALUE"""),0.0)</f>
        <v>0</v>
      </c>
    </row>
    <row r="2617">
      <c r="A2617" s="1">
        <f>IFERROR(__xludf.DUMMYFUNCTION("""COMPUTED_VALUE"""),781570.0)</f>
        <v>781570</v>
      </c>
      <c r="B2617" s="2">
        <f>IFERROR(__xludf.DUMMYFUNCTION("""COMPUTED_VALUE"""),42755.24583336872)</f>
        <v>42755.24583</v>
      </c>
      <c r="C2617" s="1" t="str">
        <f>IFERROR(__xludf.DUMMYFUNCTION("""COMPUTED_VALUE"""),"control")</f>
        <v>control</v>
      </c>
      <c r="D2617" s="1" t="str">
        <f>IFERROR(__xludf.DUMMYFUNCTION("""COMPUTED_VALUE"""),"old_page")</f>
        <v>old_page</v>
      </c>
      <c r="E2617" s="1">
        <f>IFERROR(__xludf.DUMMYFUNCTION("""COMPUTED_VALUE"""),1.0)</f>
        <v>1</v>
      </c>
    </row>
    <row r="2618">
      <c r="A2618" s="1">
        <f>IFERROR(__xludf.DUMMYFUNCTION("""COMPUTED_VALUE"""),683791.0)</f>
        <v>683791</v>
      </c>
      <c r="B2618" s="2">
        <f>IFERROR(__xludf.DUMMYFUNCTION("""COMPUTED_VALUE"""),42747.79362658779)</f>
        <v>42747.79363</v>
      </c>
      <c r="C2618" s="1" t="str">
        <f>IFERROR(__xludf.DUMMYFUNCTION("""COMPUTED_VALUE"""),"control")</f>
        <v>control</v>
      </c>
      <c r="D2618" s="1" t="str">
        <f>IFERROR(__xludf.DUMMYFUNCTION("""COMPUTED_VALUE"""),"old_page")</f>
        <v>old_page</v>
      </c>
      <c r="E2618" s="1">
        <f>IFERROR(__xludf.DUMMYFUNCTION("""COMPUTED_VALUE"""),1.0)</f>
        <v>1</v>
      </c>
    </row>
    <row r="2619">
      <c r="A2619" s="1">
        <f>IFERROR(__xludf.DUMMYFUNCTION("""COMPUTED_VALUE"""),719699.0)</f>
        <v>719699</v>
      </c>
      <c r="B2619" s="2">
        <f>IFERROR(__xludf.DUMMYFUNCTION("""COMPUTED_VALUE"""),42752.58532844273)</f>
        <v>42752.58533</v>
      </c>
      <c r="C2619" s="1" t="str">
        <f>IFERROR(__xludf.DUMMYFUNCTION("""COMPUTED_VALUE"""),"control")</f>
        <v>control</v>
      </c>
      <c r="D2619" s="1" t="str">
        <f>IFERROR(__xludf.DUMMYFUNCTION("""COMPUTED_VALUE"""),"old_page")</f>
        <v>old_page</v>
      </c>
      <c r="E2619" s="1">
        <f>IFERROR(__xludf.DUMMYFUNCTION("""COMPUTED_VALUE"""),0.0)</f>
        <v>0</v>
      </c>
    </row>
    <row r="2620">
      <c r="A2620" s="1">
        <f>IFERROR(__xludf.DUMMYFUNCTION("""COMPUTED_VALUE"""),938345.0)</f>
        <v>938345</v>
      </c>
      <c r="B2620" s="2">
        <f>IFERROR(__xludf.DUMMYFUNCTION("""COMPUTED_VALUE"""),42737.70710842542)</f>
        <v>42737.70711</v>
      </c>
      <c r="C2620" s="1" t="str">
        <f>IFERROR(__xludf.DUMMYFUNCTION("""COMPUTED_VALUE"""),"treatment")</f>
        <v>treatment</v>
      </c>
      <c r="D2620" s="1" t="str">
        <f>IFERROR(__xludf.DUMMYFUNCTION("""COMPUTED_VALUE"""),"new_page")</f>
        <v>new_page</v>
      </c>
      <c r="E2620" s="1">
        <f>IFERROR(__xludf.DUMMYFUNCTION("""COMPUTED_VALUE"""),1.0)</f>
        <v>1</v>
      </c>
    </row>
    <row r="2621">
      <c r="A2621" s="1">
        <f>IFERROR(__xludf.DUMMYFUNCTION("""COMPUTED_VALUE"""),768178.0)</f>
        <v>768178</v>
      </c>
      <c r="B2621" s="2">
        <f>IFERROR(__xludf.DUMMYFUNCTION("""COMPUTED_VALUE"""),42751.4793909598)</f>
        <v>42751.47939</v>
      </c>
      <c r="C2621" s="1" t="str">
        <f>IFERROR(__xludf.DUMMYFUNCTION("""COMPUTED_VALUE"""),"treatment")</f>
        <v>treatment</v>
      </c>
      <c r="D2621" s="1" t="str">
        <f>IFERROR(__xludf.DUMMYFUNCTION("""COMPUTED_VALUE"""),"new_page")</f>
        <v>new_page</v>
      </c>
      <c r="E2621" s="1">
        <f>IFERROR(__xludf.DUMMYFUNCTION("""COMPUTED_VALUE"""),0.0)</f>
        <v>0</v>
      </c>
    </row>
    <row r="2622">
      <c r="A2622" s="1">
        <f>IFERROR(__xludf.DUMMYFUNCTION("""COMPUTED_VALUE"""),788792.0)</f>
        <v>788792</v>
      </c>
      <c r="B2622" s="2">
        <f>IFERROR(__xludf.DUMMYFUNCTION("""COMPUTED_VALUE"""),42743.10145014076)</f>
        <v>42743.10145</v>
      </c>
      <c r="C2622" s="1" t="str">
        <f>IFERROR(__xludf.DUMMYFUNCTION("""COMPUTED_VALUE"""),"control")</f>
        <v>control</v>
      </c>
      <c r="D2622" s="1" t="str">
        <f>IFERROR(__xludf.DUMMYFUNCTION("""COMPUTED_VALUE"""),"old_page")</f>
        <v>old_page</v>
      </c>
      <c r="E2622" s="1">
        <f>IFERROR(__xludf.DUMMYFUNCTION("""COMPUTED_VALUE"""),0.0)</f>
        <v>0</v>
      </c>
    </row>
    <row r="2623">
      <c r="A2623" s="1">
        <f>IFERROR(__xludf.DUMMYFUNCTION("""COMPUTED_VALUE"""),685357.0)</f>
        <v>685357</v>
      </c>
      <c r="B2623" s="2">
        <f>IFERROR(__xludf.DUMMYFUNCTION("""COMPUTED_VALUE"""),42756.25925367334)</f>
        <v>42756.25925</v>
      </c>
      <c r="C2623" s="1" t="str">
        <f>IFERROR(__xludf.DUMMYFUNCTION("""COMPUTED_VALUE"""),"control")</f>
        <v>control</v>
      </c>
      <c r="D2623" s="1" t="str">
        <f>IFERROR(__xludf.DUMMYFUNCTION("""COMPUTED_VALUE"""),"old_page")</f>
        <v>old_page</v>
      </c>
      <c r="E2623" s="1">
        <f>IFERROR(__xludf.DUMMYFUNCTION("""COMPUTED_VALUE"""),0.0)</f>
        <v>0</v>
      </c>
    </row>
    <row r="2624">
      <c r="A2624" s="1">
        <f>IFERROR(__xludf.DUMMYFUNCTION("""COMPUTED_VALUE"""),933162.0)</f>
        <v>933162</v>
      </c>
      <c r="B2624" s="2">
        <f>IFERROR(__xludf.DUMMYFUNCTION("""COMPUTED_VALUE"""),42747.997452378186)</f>
        <v>42747.99745</v>
      </c>
      <c r="C2624" s="1" t="str">
        <f>IFERROR(__xludf.DUMMYFUNCTION("""COMPUTED_VALUE"""),"control")</f>
        <v>control</v>
      </c>
      <c r="D2624" s="1" t="str">
        <f>IFERROR(__xludf.DUMMYFUNCTION("""COMPUTED_VALUE"""),"old_page")</f>
        <v>old_page</v>
      </c>
      <c r="E2624" s="1">
        <f>IFERROR(__xludf.DUMMYFUNCTION("""COMPUTED_VALUE"""),0.0)</f>
        <v>0</v>
      </c>
    </row>
    <row r="2625">
      <c r="A2625" s="1">
        <f>IFERROR(__xludf.DUMMYFUNCTION("""COMPUTED_VALUE"""),727724.0)</f>
        <v>727724</v>
      </c>
      <c r="B2625" s="2">
        <f>IFERROR(__xludf.DUMMYFUNCTION("""COMPUTED_VALUE"""),42738.20795153992)</f>
        <v>42738.20795</v>
      </c>
      <c r="C2625" s="1" t="str">
        <f>IFERROR(__xludf.DUMMYFUNCTION("""COMPUTED_VALUE"""),"control")</f>
        <v>control</v>
      </c>
      <c r="D2625" s="1" t="str">
        <f>IFERROR(__xludf.DUMMYFUNCTION("""COMPUTED_VALUE"""),"old_page")</f>
        <v>old_page</v>
      </c>
      <c r="E2625" s="1">
        <f>IFERROR(__xludf.DUMMYFUNCTION("""COMPUTED_VALUE"""),0.0)</f>
        <v>0</v>
      </c>
    </row>
    <row r="2626">
      <c r="A2626" s="1">
        <f>IFERROR(__xludf.DUMMYFUNCTION("""COMPUTED_VALUE"""),881660.0)</f>
        <v>881660</v>
      </c>
      <c r="B2626" s="2">
        <f>IFERROR(__xludf.DUMMYFUNCTION("""COMPUTED_VALUE"""),42738.423706966525)</f>
        <v>42738.42371</v>
      </c>
      <c r="C2626" s="1" t="str">
        <f>IFERROR(__xludf.DUMMYFUNCTION("""COMPUTED_VALUE"""),"control")</f>
        <v>control</v>
      </c>
      <c r="D2626" s="1" t="str">
        <f>IFERROR(__xludf.DUMMYFUNCTION("""COMPUTED_VALUE"""),"old_page")</f>
        <v>old_page</v>
      </c>
      <c r="E2626" s="1">
        <f>IFERROR(__xludf.DUMMYFUNCTION("""COMPUTED_VALUE"""),0.0)</f>
        <v>0</v>
      </c>
    </row>
    <row r="2627">
      <c r="A2627" s="1">
        <f>IFERROR(__xludf.DUMMYFUNCTION("""COMPUTED_VALUE"""),789413.0)</f>
        <v>789413</v>
      </c>
      <c r="B2627" s="2">
        <f>IFERROR(__xludf.DUMMYFUNCTION("""COMPUTED_VALUE"""),42758.93876636383)</f>
        <v>42758.93877</v>
      </c>
      <c r="C2627" s="1" t="str">
        <f>IFERROR(__xludf.DUMMYFUNCTION("""COMPUTED_VALUE"""),"control")</f>
        <v>control</v>
      </c>
      <c r="D2627" s="1" t="str">
        <f>IFERROR(__xludf.DUMMYFUNCTION("""COMPUTED_VALUE"""),"old_page")</f>
        <v>old_page</v>
      </c>
      <c r="E2627" s="1">
        <f>IFERROR(__xludf.DUMMYFUNCTION("""COMPUTED_VALUE"""),0.0)</f>
        <v>0</v>
      </c>
    </row>
    <row r="2628">
      <c r="A2628" s="1">
        <f>IFERROR(__xludf.DUMMYFUNCTION("""COMPUTED_VALUE"""),702268.0)</f>
        <v>702268</v>
      </c>
      <c r="B2628" s="2">
        <f>IFERROR(__xludf.DUMMYFUNCTION("""COMPUTED_VALUE"""),42748.60087094775)</f>
        <v>42748.60087</v>
      </c>
      <c r="C2628" s="1" t="str">
        <f>IFERROR(__xludf.DUMMYFUNCTION("""COMPUTED_VALUE"""),"control")</f>
        <v>control</v>
      </c>
      <c r="D2628" s="1" t="str">
        <f>IFERROR(__xludf.DUMMYFUNCTION("""COMPUTED_VALUE"""),"old_page")</f>
        <v>old_page</v>
      </c>
      <c r="E2628" s="1">
        <f>IFERROR(__xludf.DUMMYFUNCTION("""COMPUTED_VALUE"""),0.0)</f>
        <v>0</v>
      </c>
    </row>
    <row r="2629">
      <c r="A2629" s="1">
        <f>IFERROR(__xludf.DUMMYFUNCTION("""COMPUTED_VALUE"""),789753.0)</f>
        <v>789753</v>
      </c>
      <c r="B2629" s="2">
        <f>IFERROR(__xludf.DUMMYFUNCTION("""COMPUTED_VALUE"""),42753.46111165618)</f>
        <v>42753.46111</v>
      </c>
      <c r="C2629" s="1" t="str">
        <f>IFERROR(__xludf.DUMMYFUNCTION("""COMPUTED_VALUE"""),"treatment")</f>
        <v>treatment</v>
      </c>
      <c r="D2629" s="1" t="str">
        <f>IFERROR(__xludf.DUMMYFUNCTION("""COMPUTED_VALUE"""),"new_page")</f>
        <v>new_page</v>
      </c>
      <c r="E2629" s="1">
        <f>IFERROR(__xludf.DUMMYFUNCTION("""COMPUTED_VALUE"""),0.0)</f>
        <v>0</v>
      </c>
    </row>
    <row r="2630">
      <c r="A2630" s="1">
        <f>IFERROR(__xludf.DUMMYFUNCTION("""COMPUTED_VALUE"""),756948.0)</f>
        <v>756948</v>
      </c>
      <c r="B2630" s="2">
        <f>IFERROR(__xludf.DUMMYFUNCTION("""COMPUTED_VALUE"""),42755.4647067804)</f>
        <v>42755.46471</v>
      </c>
      <c r="C2630" s="1" t="str">
        <f>IFERROR(__xludf.DUMMYFUNCTION("""COMPUTED_VALUE"""),"control")</f>
        <v>control</v>
      </c>
      <c r="D2630" s="1" t="str">
        <f>IFERROR(__xludf.DUMMYFUNCTION("""COMPUTED_VALUE"""),"old_page")</f>
        <v>old_page</v>
      </c>
      <c r="E2630" s="1">
        <f>IFERROR(__xludf.DUMMYFUNCTION("""COMPUTED_VALUE"""),0.0)</f>
        <v>0</v>
      </c>
    </row>
    <row r="2631">
      <c r="A2631" s="1">
        <f>IFERROR(__xludf.DUMMYFUNCTION("""COMPUTED_VALUE"""),886218.0)</f>
        <v>886218</v>
      </c>
      <c r="B2631" s="2">
        <f>IFERROR(__xludf.DUMMYFUNCTION("""COMPUTED_VALUE"""),42754.27063601942)</f>
        <v>42754.27064</v>
      </c>
      <c r="C2631" s="1" t="str">
        <f>IFERROR(__xludf.DUMMYFUNCTION("""COMPUTED_VALUE"""),"treatment")</f>
        <v>treatment</v>
      </c>
      <c r="D2631" s="1" t="str">
        <f>IFERROR(__xludf.DUMMYFUNCTION("""COMPUTED_VALUE"""),"new_page")</f>
        <v>new_page</v>
      </c>
      <c r="E2631" s="1">
        <f>IFERROR(__xludf.DUMMYFUNCTION("""COMPUTED_VALUE"""),0.0)</f>
        <v>0</v>
      </c>
    </row>
    <row r="2632">
      <c r="A2632" s="1">
        <f>IFERROR(__xludf.DUMMYFUNCTION("""COMPUTED_VALUE"""),793642.0)</f>
        <v>793642</v>
      </c>
      <c r="B2632" s="2">
        <f>IFERROR(__xludf.DUMMYFUNCTION("""COMPUTED_VALUE"""),42757.16682946116)</f>
        <v>42757.16683</v>
      </c>
      <c r="C2632" s="1" t="str">
        <f>IFERROR(__xludf.DUMMYFUNCTION("""COMPUTED_VALUE"""),"control")</f>
        <v>control</v>
      </c>
      <c r="D2632" s="1" t="str">
        <f>IFERROR(__xludf.DUMMYFUNCTION("""COMPUTED_VALUE"""),"old_page")</f>
        <v>old_page</v>
      </c>
      <c r="E2632" s="1">
        <f>IFERROR(__xludf.DUMMYFUNCTION("""COMPUTED_VALUE"""),0.0)</f>
        <v>0</v>
      </c>
    </row>
    <row r="2633">
      <c r="A2633" s="1">
        <f>IFERROR(__xludf.DUMMYFUNCTION("""COMPUTED_VALUE"""),773421.0)</f>
        <v>773421</v>
      </c>
      <c r="B2633" s="2">
        <f>IFERROR(__xludf.DUMMYFUNCTION("""COMPUTED_VALUE"""),42753.86570739128)</f>
        <v>42753.86571</v>
      </c>
      <c r="C2633" s="1" t="str">
        <f>IFERROR(__xludf.DUMMYFUNCTION("""COMPUTED_VALUE"""),"treatment")</f>
        <v>treatment</v>
      </c>
      <c r="D2633" s="1" t="str">
        <f>IFERROR(__xludf.DUMMYFUNCTION("""COMPUTED_VALUE"""),"new_page")</f>
        <v>new_page</v>
      </c>
      <c r="E2633" s="1">
        <f>IFERROR(__xludf.DUMMYFUNCTION("""COMPUTED_VALUE"""),0.0)</f>
        <v>0</v>
      </c>
    </row>
    <row r="2634">
      <c r="A2634" s="1">
        <f>IFERROR(__xludf.DUMMYFUNCTION("""COMPUTED_VALUE"""),666002.0)</f>
        <v>666002</v>
      </c>
      <c r="B2634" s="2">
        <f>IFERROR(__xludf.DUMMYFUNCTION("""COMPUTED_VALUE"""),42750.48514395815)</f>
        <v>42750.48514</v>
      </c>
      <c r="C2634" s="1" t="str">
        <f>IFERROR(__xludf.DUMMYFUNCTION("""COMPUTED_VALUE"""),"treatment")</f>
        <v>treatment</v>
      </c>
      <c r="D2634" s="1" t="str">
        <f>IFERROR(__xludf.DUMMYFUNCTION("""COMPUTED_VALUE"""),"new_page")</f>
        <v>new_page</v>
      </c>
      <c r="E2634" s="1">
        <f>IFERROR(__xludf.DUMMYFUNCTION("""COMPUTED_VALUE"""),0.0)</f>
        <v>0</v>
      </c>
    </row>
    <row r="2635">
      <c r="A2635" s="1">
        <f>IFERROR(__xludf.DUMMYFUNCTION("""COMPUTED_VALUE"""),898647.0)</f>
        <v>898647</v>
      </c>
      <c r="B2635" s="2">
        <f>IFERROR(__xludf.DUMMYFUNCTION("""COMPUTED_VALUE"""),42755.6704179739)</f>
        <v>42755.67042</v>
      </c>
      <c r="C2635" s="1" t="str">
        <f>IFERROR(__xludf.DUMMYFUNCTION("""COMPUTED_VALUE"""),"control")</f>
        <v>control</v>
      </c>
      <c r="D2635" s="1" t="str">
        <f>IFERROR(__xludf.DUMMYFUNCTION("""COMPUTED_VALUE"""),"old_page")</f>
        <v>old_page</v>
      </c>
      <c r="E2635" s="1">
        <f>IFERROR(__xludf.DUMMYFUNCTION("""COMPUTED_VALUE"""),0.0)</f>
        <v>0</v>
      </c>
    </row>
    <row r="2636">
      <c r="A2636" s="1">
        <f>IFERROR(__xludf.DUMMYFUNCTION("""COMPUTED_VALUE"""),820962.0)</f>
        <v>820962</v>
      </c>
      <c r="B2636" s="2">
        <f>IFERROR(__xludf.DUMMYFUNCTION("""COMPUTED_VALUE"""),42751.723460981295)</f>
        <v>42751.72346</v>
      </c>
      <c r="C2636" s="1" t="str">
        <f>IFERROR(__xludf.DUMMYFUNCTION("""COMPUTED_VALUE"""),"control")</f>
        <v>control</v>
      </c>
      <c r="D2636" s="1" t="str">
        <f>IFERROR(__xludf.DUMMYFUNCTION("""COMPUTED_VALUE"""),"old_page")</f>
        <v>old_page</v>
      </c>
      <c r="E2636" s="1">
        <f>IFERROR(__xludf.DUMMYFUNCTION("""COMPUTED_VALUE"""),1.0)</f>
        <v>1</v>
      </c>
    </row>
    <row r="2637">
      <c r="A2637" s="1">
        <f>IFERROR(__xludf.DUMMYFUNCTION("""COMPUTED_VALUE"""),762487.0)</f>
        <v>762487</v>
      </c>
      <c r="B2637" s="2">
        <f>IFERROR(__xludf.DUMMYFUNCTION("""COMPUTED_VALUE"""),42741.24977774564)</f>
        <v>42741.24978</v>
      </c>
      <c r="C2637" s="1" t="str">
        <f>IFERROR(__xludf.DUMMYFUNCTION("""COMPUTED_VALUE"""),"control")</f>
        <v>control</v>
      </c>
      <c r="D2637" s="1" t="str">
        <f>IFERROR(__xludf.DUMMYFUNCTION("""COMPUTED_VALUE"""),"old_page")</f>
        <v>old_page</v>
      </c>
      <c r="E2637" s="1">
        <f>IFERROR(__xludf.DUMMYFUNCTION("""COMPUTED_VALUE"""),0.0)</f>
        <v>0</v>
      </c>
    </row>
    <row r="2638">
      <c r="A2638" s="1">
        <f>IFERROR(__xludf.DUMMYFUNCTION("""COMPUTED_VALUE"""),841218.0)</f>
        <v>841218</v>
      </c>
      <c r="B2638" s="2">
        <f>IFERROR(__xludf.DUMMYFUNCTION("""COMPUTED_VALUE"""),42740.42772198787)</f>
        <v>42740.42772</v>
      </c>
      <c r="C2638" s="1" t="str">
        <f>IFERROR(__xludf.DUMMYFUNCTION("""COMPUTED_VALUE"""),"control")</f>
        <v>control</v>
      </c>
      <c r="D2638" s="1" t="str">
        <f>IFERROR(__xludf.DUMMYFUNCTION("""COMPUTED_VALUE"""),"old_page")</f>
        <v>old_page</v>
      </c>
      <c r="E2638" s="1">
        <f>IFERROR(__xludf.DUMMYFUNCTION("""COMPUTED_VALUE"""),0.0)</f>
        <v>0</v>
      </c>
    </row>
    <row r="2639">
      <c r="A2639" s="1">
        <f>IFERROR(__xludf.DUMMYFUNCTION("""COMPUTED_VALUE"""),835187.0)</f>
        <v>835187</v>
      </c>
      <c r="B2639" s="2">
        <f>IFERROR(__xludf.DUMMYFUNCTION("""COMPUTED_VALUE"""),42744.196247998356)</f>
        <v>42744.19625</v>
      </c>
      <c r="C2639" s="1" t="str">
        <f>IFERROR(__xludf.DUMMYFUNCTION("""COMPUTED_VALUE"""),"control")</f>
        <v>control</v>
      </c>
      <c r="D2639" s="1" t="str">
        <f>IFERROR(__xludf.DUMMYFUNCTION("""COMPUTED_VALUE"""),"old_page")</f>
        <v>old_page</v>
      </c>
      <c r="E2639" s="1">
        <f>IFERROR(__xludf.DUMMYFUNCTION("""COMPUTED_VALUE"""),0.0)</f>
        <v>0</v>
      </c>
    </row>
    <row r="2640">
      <c r="A2640" s="1">
        <f>IFERROR(__xludf.DUMMYFUNCTION("""COMPUTED_VALUE"""),727953.0)</f>
        <v>727953</v>
      </c>
      <c r="B2640" s="2">
        <f>IFERROR(__xludf.DUMMYFUNCTION("""COMPUTED_VALUE"""),42753.16310738365)</f>
        <v>42753.16311</v>
      </c>
      <c r="C2640" s="1" t="str">
        <f>IFERROR(__xludf.DUMMYFUNCTION("""COMPUTED_VALUE"""),"control")</f>
        <v>control</v>
      </c>
      <c r="D2640" s="1" t="str">
        <f>IFERROR(__xludf.DUMMYFUNCTION("""COMPUTED_VALUE"""),"old_page")</f>
        <v>old_page</v>
      </c>
      <c r="E2640" s="1">
        <f>IFERROR(__xludf.DUMMYFUNCTION("""COMPUTED_VALUE"""),0.0)</f>
        <v>0</v>
      </c>
    </row>
    <row r="2641">
      <c r="A2641" s="1">
        <f>IFERROR(__xludf.DUMMYFUNCTION("""COMPUTED_VALUE"""),824011.0)</f>
        <v>824011</v>
      </c>
      <c r="B2641" s="2">
        <f>IFERROR(__xludf.DUMMYFUNCTION("""COMPUTED_VALUE"""),42745.73467427526)</f>
        <v>42745.73467</v>
      </c>
      <c r="C2641" s="1" t="str">
        <f>IFERROR(__xludf.DUMMYFUNCTION("""COMPUTED_VALUE"""),"control")</f>
        <v>control</v>
      </c>
      <c r="D2641" s="1" t="str">
        <f>IFERROR(__xludf.DUMMYFUNCTION("""COMPUTED_VALUE"""),"old_page")</f>
        <v>old_page</v>
      </c>
      <c r="E2641" s="1">
        <f>IFERROR(__xludf.DUMMYFUNCTION("""COMPUTED_VALUE"""),1.0)</f>
        <v>1</v>
      </c>
    </row>
    <row r="2642">
      <c r="A2642" s="1">
        <f>IFERROR(__xludf.DUMMYFUNCTION("""COMPUTED_VALUE"""),906533.0)</f>
        <v>906533</v>
      </c>
      <c r="B2642" s="2">
        <f>IFERROR(__xludf.DUMMYFUNCTION("""COMPUTED_VALUE"""),42743.332793913614)</f>
        <v>42743.33279</v>
      </c>
      <c r="C2642" s="1" t="str">
        <f>IFERROR(__xludf.DUMMYFUNCTION("""COMPUTED_VALUE"""),"control")</f>
        <v>control</v>
      </c>
      <c r="D2642" s="1" t="str">
        <f>IFERROR(__xludf.DUMMYFUNCTION("""COMPUTED_VALUE"""),"old_page")</f>
        <v>old_page</v>
      </c>
      <c r="E2642" s="1">
        <f>IFERROR(__xludf.DUMMYFUNCTION("""COMPUTED_VALUE"""),0.0)</f>
        <v>0</v>
      </c>
    </row>
    <row r="2643">
      <c r="A2643" s="1">
        <f>IFERROR(__xludf.DUMMYFUNCTION("""COMPUTED_VALUE"""),828235.0)</f>
        <v>828235</v>
      </c>
      <c r="B2643" s="2">
        <f>IFERROR(__xludf.DUMMYFUNCTION("""COMPUTED_VALUE"""),42751.585943073325)</f>
        <v>42751.58594</v>
      </c>
      <c r="C2643" s="1" t="str">
        <f>IFERROR(__xludf.DUMMYFUNCTION("""COMPUTED_VALUE"""),"treatment")</f>
        <v>treatment</v>
      </c>
      <c r="D2643" s="1" t="str">
        <f>IFERROR(__xludf.DUMMYFUNCTION("""COMPUTED_VALUE"""),"new_page")</f>
        <v>new_page</v>
      </c>
      <c r="E2643" s="1">
        <f>IFERROR(__xludf.DUMMYFUNCTION("""COMPUTED_VALUE"""),0.0)</f>
        <v>0</v>
      </c>
    </row>
    <row r="2644">
      <c r="A2644" s="1">
        <f>IFERROR(__xludf.DUMMYFUNCTION("""COMPUTED_VALUE"""),840431.0)</f>
        <v>840431</v>
      </c>
      <c r="B2644" s="2">
        <f>IFERROR(__xludf.DUMMYFUNCTION("""COMPUTED_VALUE"""),42738.030078418196)</f>
        <v>42738.03008</v>
      </c>
      <c r="C2644" s="1" t="str">
        <f>IFERROR(__xludf.DUMMYFUNCTION("""COMPUTED_VALUE"""),"control")</f>
        <v>control</v>
      </c>
      <c r="D2644" s="1" t="str">
        <f>IFERROR(__xludf.DUMMYFUNCTION("""COMPUTED_VALUE"""),"old_page")</f>
        <v>old_page</v>
      </c>
      <c r="E2644" s="1">
        <f>IFERROR(__xludf.DUMMYFUNCTION("""COMPUTED_VALUE"""),0.0)</f>
        <v>0</v>
      </c>
    </row>
    <row r="2645">
      <c r="A2645" s="1">
        <f>IFERROR(__xludf.DUMMYFUNCTION("""COMPUTED_VALUE"""),638022.0)</f>
        <v>638022</v>
      </c>
      <c r="B2645" s="2">
        <f>IFERROR(__xludf.DUMMYFUNCTION("""COMPUTED_VALUE"""),42740.66353007367)</f>
        <v>42740.66353</v>
      </c>
      <c r="C2645" s="1" t="str">
        <f>IFERROR(__xludf.DUMMYFUNCTION("""COMPUTED_VALUE"""),"control")</f>
        <v>control</v>
      </c>
      <c r="D2645" s="1" t="str">
        <f>IFERROR(__xludf.DUMMYFUNCTION("""COMPUTED_VALUE"""),"old_page")</f>
        <v>old_page</v>
      </c>
      <c r="E2645" s="1">
        <f>IFERROR(__xludf.DUMMYFUNCTION("""COMPUTED_VALUE"""),0.0)</f>
        <v>0</v>
      </c>
    </row>
    <row r="2646">
      <c r="A2646" s="1">
        <f>IFERROR(__xludf.DUMMYFUNCTION("""COMPUTED_VALUE"""),688729.0)</f>
        <v>688729</v>
      </c>
      <c r="B2646" s="2">
        <f>IFERROR(__xludf.DUMMYFUNCTION("""COMPUTED_VALUE"""),42747.93138685557)</f>
        <v>42747.93139</v>
      </c>
      <c r="C2646" s="1" t="str">
        <f>IFERROR(__xludf.DUMMYFUNCTION("""COMPUTED_VALUE"""),"control")</f>
        <v>control</v>
      </c>
      <c r="D2646" s="1" t="str">
        <f>IFERROR(__xludf.DUMMYFUNCTION("""COMPUTED_VALUE"""),"old_page")</f>
        <v>old_page</v>
      </c>
      <c r="E2646" s="1">
        <f>IFERROR(__xludf.DUMMYFUNCTION("""COMPUTED_VALUE"""),0.0)</f>
        <v>0</v>
      </c>
    </row>
    <row r="2647">
      <c r="A2647" s="1">
        <f>IFERROR(__xludf.DUMMYFUNCTION("""COMPUTED_VALUE"""),740917.0)</f>
        <v>740917</v>
      </c>
      <c r="B2647" s="2">
        <f>IFERROR(__xludf.DUMMYFUNCTION("""COMPUTED_VALUE"""),42756.93842957331)</f>
        <v>42756.93843</v>
      </c>
      <c r="C2647" s="1" t="str">
        <f>IFERROR(__xludf.DUMMYFUNCTION("""COMPUTED_VALUE"""),"treatment")</f>
        <v>treatment</v>
      </c>
      <c r="D2647" s="1" t="str">
        <f>IFERROR(__xludf.DUMMYFUNCTION("""COMPUTED_VALUE"""),"new_page")</f>
        <v>new_page</v>
      </c>
      <c r="E2647" s="1">
        <f>IFERROR(__xludf.DUMMYFUNCTION("""COMPUTED_VALUE"""),0.0)</f>
        <v>0</v>
      </c>
    </row>
    <row r="2648">
      <c r="A2648" s="1">
        <f>IFERROR(__xludf.DUMMYFUNCTION("""COMPUTED_VALUE"""),894158.0)</f>
        <v>894158</v>
      </c>
      <c r="B2648" s="2">
        <f>IFERROR(__xludf.DUMMYFUNCTION("""COMPUTED_VALUE"""),42744.69552796651)</f>
        <v>42744.69553</v>
      </c>
      <c r="C2648" s="1" t="str">
        <f>IFERROR(__xludf.DUMMYFUNCTION("""COMPUTED_VALUE"""),"treatment")</f>
        <v>treatment</v>
      </c>
      <c r="D2648" s="1" t="str">
        <f>IFERROR(__xludf.DUMMYFUNCTION("""COMPUTED_VALUE"""),"new_page")</f>
        <v>new_page</v>
      </c>
      <c r="E2648" s="1">
        <f>IFERROR(__xludf.DUMMYFUNCTION("""COMPUTED_VALUE"""),0.0)</f>
        <v>0</v>
      </c>
    </row>
    <row r="2649">
      <c r="A2649" s="1">
        <f>IFERROR(__xludf.DUMMYFUNCTION("""COMPUTED_VALUE"""),826521.0)</f>
        <v>826521</v>
      </c>
      <c r="B2649" s="2">
        <f>IFERROR(__xludf.DUMMYFUNCTION("""COMPUTED_VALUE"""),42752.3619776816)</f>
        <v>42752.36198</v>
      </c>
      <c r="C2649" s="1" t="str">
        <f>IFERROR(__xludf.DUMMYFUNCTION("""COMPUTED_VALUE"""),"treatment")</f>
        <v>treatment</v>
      </c>
      <c r="D2649" s="1" t="str">
        <f>IFERROR(__xludf.DUMMYFUNCTION("""COMPUTED_VALUE"""),"new_page")</f>
        <v>new_page</v>
      </c>
      <c r="E2649" s="1">
        <f>IFERROR(__xludf.DUMMYFUNCTION("""COMPUTED_VALUE"""),0.0)</f>
        <v>0</v>
      </c>
    </row>
    <row r="2650">
      <c r="A2650" s="1">
        <f>IFERROR(__xludf.DUMMYFUNCTION("""COMPUTED_VALUE"""),678214.0)</f>
        <v>678214</v>
      </c>
      <c r="B2650" s="2">
        <f>IFERROR(__xludf.DUMMYFUNCTION("""COMPUTED_VALUE"""),42738.63504866632)</f>
        <v>42738.63505</v>
      </c>
      <c r="C2650" s="1" t="str">
        <f>IFERROR(__xludf.DUMMYFUNCTION("""COMPUTED_VALUE"""),"treatment")</f>
        <v>treatment</v>
      </c>
      <c r="D2650" s="1" t="str">
        <f>IFERROR(__xludf.DUMMYFUNCTION("""COMPUTED_VALUE"""),"new_page")</f>
        <v>new_page</v>
      </c>
      <c r="E2650" s="1">
        <f>IFERROR(__xludf.DUMMYFUNCTION("""COMPUTED_VALUE"""),0.0)</f>
        <v>0</v>
      </c>
    </row>
    <row r="2651">
      <c r="A2651" s="1">
        <f>IFERROR(__xludf.DUMMYFUNCTION("""COMPUTED_VALUE"""),708340.0)</f>
        <v>708340</v>
      </c>
      <c r="B2651" s="2">
        <f>IFERROR(__xludf.DUMMYFUNCTION("""COMPUTED_VALUE"""),42746.02062848192)</f>
        <v>42746.02063</v>
      </c>
      <c r="C2651" s="1" t="str">
        <f>IFERROR(__xludf.DUMMYFUNCTION("""COMPUTED_VALUE"""),"treatment")</f>
        <v>treatment</v>
      </c>
      <c r="D2651" s="1" t="str">
        <f>IFERROR(__xludf.DUMMYFUNCTION("""COMPUTED_VALUE"""),"new_page")</f>
        <v>new_page</v>
      </c>
      <c r="E2651" s="1">
        <f>IFERROR(__xludf.DUMMYFUNCTION("""COMPUTED_VALUE"""),0.0)</f>
        <v>0</v>
      </c>
    </row>
    <row r="2652">
      <c r="A2652" s="1">
        <f>IFERROR(__xludf.DUMMYFUNCTION("""COMPUTED_VALUE"""),769083.0)</f>
        <v>769083</v>
      </c>
      <c r="B2652" s="2">
        <f>IFERROR(__xludf.DUMMYFUNCTION("""COMPUTED_VALUE"""),42748.04419336923)</f>
        <v>42748.04419</v>
      </c>
      <c r="C2652" s="1" t="str">
        <f>IFERROR(__xludf.DUMMYFUNCTION("""COMPUTED_VALUE"""),"treatment")</f>
        <v>treatment</v>
      </c>
      <c r="D2652" s="1" t="str">
        <f>IFERROR(__xludf.DUMMYFUNCTION("""COMPUTED_VALUE"""),"new_page")</f>
        <v>new_page</v>
      </c>
      <c r="E2652" s="1">
        <f>IFERROR(__xludf.DUMMYFUNCTION("""COMPUTED_VALUE"""),0.0)</f>
        <v>0</v>
      </c>
    </row>
    <row r="2653">
      <c r="A2653" s="1">
        <f>IFERROR(__xludf.DUMMYFUNCTION("""COMPUTED_VALUE"""),761472.0)</f>
        <v>761472</v>
      </c>
      <c r="B2653" s="2">
        <f>IFERROR(__xludf.DUMMYFUNCTION("""COMPUTED_VALUE"""),42745.25196695015)</f>
        <v>42745.25197</v>
      </c>
      <c r="C2653" s="1" t="str">
        <f>IFERROR(__xludf.DUMMYFUNCTION("""COMPUTED_VALUE"""),"treatment")</f>
        <v>treatment</v>
      </c>
      <c r="D2653" s="1" t="str">
        <f>IFERROR(__xludf.DUMMYFUNCTION("""COMPUTED_VALUE"""),"new_page")</f>
        <v>new_page</v>
      </c>
      <c r="E2653" s="1">
        <f>IFERROR(__xludf.DUMMYFUNCTION("""COMPUTED_VALUE"""),0.0)</f>
        <v>0</v>
      </c>
    </row>
    <row r="2654">
      <c r="A2654" s="1">
        <f>IFERROR(__xludf.DUMMYFUNCTION("""COMPUTED_VALUE"""),714362.0)</f>
        <v>714362</v>
      </c>
      <c r="B2654" s="2">
        <f>IFERROR(__xludf.DUMMYFUNCTION("""COMPUTED_VALUE"""),42752.96313711195)</f>
        <v>42752.96314</v>
      </c>
      <c r="C2654" s="1" t="str">
        <f>IFERROR(__xludf.DUMMYFUNCTION("""COMPUTED_VALUE"""),"treatment")</f>
        <v>treatment</v>
      </c>
      <c r="D2654" s="1" t="str">
        <f>IFERROR(__xludf.DUMMYFUNCTION("""COMPUTED_VALUE"""),"new_page")</f>
        <v>new_page</v>
      </c>
      <c r="E2654" s="1">
        <f>IFERROR(__xludf.DUMMYFUNCTION("""COMPUTED_VALUE"""),0.0)</f>
        <v>0</v>
      </c>
    </row>
    <row r="2655">
      <c r="A2655" s="1">
        <f>IFERROR(__xludf.DUMMYFUNCTION("""COMPUTED_VALUE"""),641314.0)</f>
        <v>641314</v>
      </c>
      <c r="B2655" s="2">
        <f>IFERROR(__xludf.DUMMYFUNCTION("""COMPUTED_VALUE"""),42739.70550983115)</f>
        <v>42739.70551</v>
      </c>
      <c r="C2655" s="1" t="str">
        <f>IFERROR(__xludf.DUMMYFUNCTION("""COMPUTED_VALUE"""),"treatment")</f>
        <v>treatment</v>
      </c>
      <c r="D2655" s="1" t="str">
        <f>IFERROR(__xludf.DUMMYFUNCTION("""COMPUTED_VALUE"""),"new_page")</f>
        <v>new_page</v>
      </c>
      <c r="E2655" s="1">
        <f>IFERROR(__xludf.DUMMYFUNCTION("""COMPUTED_VALUE"""),0.0)</f>
        <v>0</v>
      </c>
    </row>
    <row r="2656">
      <c r="A2656" s="1">
        <f>IFERROR(__xludf.DUMMYFUNCTION("""COMPUTED_VALUE"""),944773.0)</f>
        <v>944773</v>
      </c>
      <c r="B2656" s="2">
        <f>IFERROR(__xludf.DUMMYFUNCTION("""COMPUTED_VALUE"""),42751.19987232482)</f>
        <v>42751.19987</v>
      </c>
      <c r="C2656" s="1" t="str">
        <f>IFERROR(__xludf.DUMMYFUNCTION("""COMPUTED_VALUE"""),"treatment")</f>
        <v>treatment</v>
      </c>
      <c r="D2656" s="1" t="str">
        <f>IFERROR(__xludf.DUMMYFUNCTION("""COMPUTED_VALUE"""),"new_page")</f>
        <v>new_page</v>
      </c>
      <c r="E2656" s="1">
        <f>IFERROR(__xludf.DUMMYFUNCTION("""COMPUTED_VALUE"""),0.0)</f>
        <v>0</v>
      </c>
    </row>
    <row r="2657">
      <c r="A2657" s="1">
        <f>IFERROR(__xludf.DUMMYFUNCTION("""COMPUTED_VALUE"""),689842.0)</f>
        <v>689842</v>
      </c>
      <c r="B2657" s="2">
        <f>IFERROR(__xludf.DUMMYFUNCTION("""COMPUTED_VALUE"""),42748.409682571575)</f>
        <v>42748.40968</v>
      </c>
      <c r="C2657" s="1" t="str">
        <f>IFERROR(__xludf.DUMMYFUNCTION("""COMPUTED_VALUE"""),"control")</f>
        <v>control</v>
      </c>
      <c r="D2657" s="1" t="str">
        <f>IFERROR(__xludf.DUMMYFUNCTION("""COMPUTED_VALUE"""),"old_page")</f>
        <v>old_page</v>
      </c>
      <c r="E2657" s="1">
        <f>IFERROR(__xludf.DUMMYFUNCTION("""COMPUTED_VALUE"""),1.0)</f>
        <v>1</v>
      </c>
    </row>
    <row r="2658">
      <c r="A2658" s="1">
        <f>IFERROR(__xludf.DUMMYFUNCTION("""COMPUTED_VALUE"""),698120.0)</f>
        <v>698120</v>
      </c>
      <c r="B2658" s="2">
        <f>IFERROR(__xludf.DUMMYFUNCTION("""COMPUTED_VALUE"""),42750.71785419903)</f>
        <v>42750.71785</v>
      </c>
      <c r="C2658" s="1" t="str">
        <f>IFERROR(__xludf.DUMMYFUNCTION("""COMPUTED_VALUE"""),"control")</f>
        <v>control</v>
      </c>
      <c r="D2658" s="1" t="str">
        <f>IFERROR(__xludf.DUMMYFUNCTION("""COMPUTED_VALUE"""),"old_page")</f>
        <v>old_page</v>
      </c>
      <c r="E2658" s="1">
        <f>IFERROR(__xludf.DUMMYFUNCTION("""COMPUTED_VALUE"""),0.0)</f>
        <v>0</v>
      </c>
    </row>
    <row r="2659">
      <c r="A2659" s="1">
        <f>IFERROR(__xludf.DUMMYFUNCTION("""COMPUTED_VALUE"""),901459.0)</f>
        <v>901459</v>
      </c>
      <c r="B2659" s="2">
        <f>IFERROR(__xludf.DUMMYFUNCTION("""COMPUTED_VALUE"""),42740.48164685106)</f>
        <v>42740.48165</v>
      </c>
      <c r="C2659" s="1" t="str">
        <f>IFERROR(__xludf.DUMMYFUNCTION("""COMPUTED_VALUE"""),"treatment")</f>
        <v>treatment</v>
      </c>
      <c r="D2659" s="1" t="str">
        <f>IFERROR(__xludf.DUMMYFUNCTION("""COMPUTED_VALUE"""),"new_page")</f>
        <v>new_page</v>
      </c>
      <c r="E2659" s="1">
        <f>IFERROR(__xludf.DUMMYFUNCTION("""COMPUTED_VALUE"""),0.0)</f>
        <v>0</v>
      </c>
    </row>
    <row r="2660">
      <c r="A2660" s="1">
        <f>IFERROR(__xludf.DUMMYFUNCTION("""COMPUTED_VALUE"""),886455.0)</f>
        <v>886455</v>
      </c>
      <c r="B2660" s="2">
        <f>IFERROR(__xludf.DUMMYFUNCTION("""COMPUTED_VALUE"""),42739.75829822561)</f>
        <v>42739.7583</v>
      </c>
      <c r="C2660" s="1" t="str">
        <f>IFERROR(__xludf.DUMMYFUNCTION("""COMPUTED_VALUE"""),"control")</f>
        <v>control</v>
      </c>
      <c r="D2660" s="1" t="str">
        <f>IFERROR(__xludf.DUMMYFUNCTION("""COMPUTED_VALUE"""),"old_page")</f>
        <v>old_page</v>
      </c>
      <c r="E2660" s="1">
        <f>IFERROR(__xludf.DUMMYFUNCTION("""COMPUTED_VALUE"""),0.0)</f>
        <v>0</v>
      </c>
    </row>
    <row r="2661">
      <c r="A2661" s="1">
        <f>IFERROR(__xludf.DUMMYFUNCTION("""COMPUTED_VALUE"""),675824.0)</f>
        <v>675824</v>
      </c>
      <c r="B2661" s="2">
        <f>IFERROR(__xludf.DUMMYFUNCTION("""COMPUTED_VALUE"""),42742.259760558656)</f>
        <v>42742.25976</v>
      </c>
      <c r="C2661" s="1" t="str">
        <f>IFERROR(__xludf.DUMMYFUNCTION("""COMPUTED_VALUE"""),"treatment")</f>
        <v>treatment</v>
      </c>
      <c r="D2661" s="1" t="str">
        <f>IFERROR(__xludf.DUMMYFUNCTION("""COMPUTED_VALUE"""),"new_page")</f>
        <v>new_page</v>
      </c>
      <c r="E2661" s="1">
        <f>IFERROR(__xludf.DUMMYFUNCTION("""COMPUTED_VALUE"""),0.0)</f>
        <v>0</v>
      </c>
    </row>
    <row r="2662">
      <c r="A2662" s="1">
        <f>IFERROR(__xludf.DUMMYFUNCTION("""COMPUTED_VALUE"""),916848.0)</f>
        <v>916848</v>
      </c>
      <c r="B2662" s="2">
        <f>IFERROR(__xludf.DUMMYFUNCTION("""COMPUTED_VALUE"""),42739.76343374386)</f>
        <v>42739.76343</v>
      </c>
      <c r="C2662" s="1" t="str">
        <f>IFERROR(__xludf.DUMMYFUNCTION("""COMPUTED_VALUE"""),"treatment")</f>
        <v>treatment</v>
      </c>
      <c r="D2662" s="1" t="str">
        <f>IFERROR(__xludf.DUMMYFUNCTION("""COMPUTED_VALUE"""),"new_page")</f>
        <v>new_page</v>
      </c>
      <c r="E2662" s="1">
        <f>IFERROR(__xludf.DUMMYFUNCTION("""COMPUTED_VALUE"""),0.0)</f>
        <v>0</v>
      </c>
    </row>
    <row r="2663">
      <c r="A2663" s="1">
        <f>IFERROR(__xludf.DUMMYFUNCTION("""COMPUTED_VALUE"""),804450.0)</f>
        <v>804450</v>
      </c>
      <c r="B2663" s="2">
        <f>IFERROR(__xludf.DUMMYFUNCTION("""COMPUTED_VALUE"""),42751.35543198303)</f>
        <v>42751.35543</v>
      </c>
      <c r="C2663" s="1" t="str">
        <f>IFERROR(__xludf.DUMMYFUNCTION("""COMPUTED_VALUE"""),"control")</f>
        <v>control</v>
      </c>
      <c r="D2663" s="1" t="str">
        <f>IFERROR(__xludf.DUMMYFUNCTION("""COMPUTED_VALUE"""),"old_page")</f>
        <v>old_page</v>
      </c>
      <c r="E2663" s="1">
        <f>IFERROR(__xludf.DUMMYFUNCTION("""COMPUTED_VALUE"""),0.0)</f>
        <v>0</v>
      </c>
    </row>
    <row r="2664">
      <c r="A2664" s="1">
        <f>IFERROR(__xludf.DUMMYFUNCTION("""COMPUTED_VALUE"""),866617.0)</f>
        <v>866617</v>
      </c>
      <c r="B2664" s="2">
        <f>IFERROR(__xludf.DUMMYFUNCTION("""COMPUTED_VALUE"""),42757.63029436898)</f>
        <v>42757.63029</v>
      </c>
      <c r="C2664" s="1" t="str">
        <f>IFERROR(__xludf.DUMMYFUNCTION("""COMPUTED_VALUE"""),"control")</f>
        <v>control</v>
      </c>
      <c r="D2664" s="1" t="str">
        <f>IFERROR(__xludf.DUMMYFUNCTION("""COMPUTED_VALUE"""),"old_page")</f>
        <v>old_page</v>
      </c>
      <c r="E2664" s="1">
        <f>IFERROR(__xludf.DUMMYFUNCTION("""COMPUTED_VALUE"""),0.0)</f>
        <v>0</v>
      </c>
    </row>
    <row r="2665">
      <c r="A2665" s="1">
        <f>IFERROR(__xludf.DUMMYFUNCTION("""COMPUTED_VALUE"""),635384.0)</f>
        <v>635384</v>
      </c>
      <c r="B2665" s="2">
        <f>IFERROR(__xludf.DUMMYFUNCTION("""COMPUTED_VALUE"""),42744.83479973531)</f>
        <v>42744.8348</v>
      </c>
      <c r="C2665" s="1" t="str">
        <f>IFERROR(__xludf.DUMMYFUNCTION("""COMPUTED_VALUE"""),"control")</f>
        <v>control</v>
      </c>
      <c r="D2665" s="1" t="str">
        <f>IFERROR(__xludf.DUMMYFUNCTION("""COMPUTED_VALUE"""),"old_page")</f>
        <v>old_page</v>
      </c>
      <c r="E2665" s="1">
        <f>IFERROR(__xludf.DUMMYFUNCTION("""COMPUTED_VALUE"""),1.0)</f>
        <v>1</v>
      </c>
    </row>
    <row r="2666">
      <c r="A2666" s="1">
        <f>IFERROR(__xludf.DUMMYFUNCTION("""COMPUTED_VALUE"""),739441.0)</f>
        <v>739441</v>
      </c>
      <c r="B2666" s="2">
        <f>IFERROR(__xludf.DUMMYFUNCTION("""COMPUTED_VALUE"""),42748.854683563404)</f>
        <v>42748.85468</v>
      </c>
      <c r="C2666" s="1" t="str">
        <f>IFERROR(__xludf.DUMMYFUNCTION("""COMPUTED_VALUE"""),"control")</f>
        <v>control</v>
      </c>
      <c r="D2666" s="1" t="str">
        <f>IFERROR(__xludf.DUMMYFUNCTION("""COMPUTED_VALUE"""),"old_page")</f>
        <v>old_page</v>
      </c>
      <c r="E2666" s="1">
        <f>IFERROR(__xludf.DUMMYFUNCTION("""COMPUTED_VALUE"""),0.0)</f>
        <v>0</v>
      </c>
    </row>
    <row r="2667">
      <c r="A2667" s="1">
        <f>IFERROR(__xludf.DUMMYFUNCTION("""COMPUTED_VALUE"""),690890.0)</f>
        <v>690890</v>
      </c>
      <c r="B2667" s="2">
        <f>IFERROR(__xludf.DUMMYFUNCTION("""COMPUTED_VALUE"""),42757.95191034566)</f>
        <v>42757.95191</v>
      </c>
      <c r="C2667" s="1" t="str">
        <f>IFERROR(__xludf.DUMMYFUNCTION("""COMPUTED_VALUE"""),"treatment")</f>
        <v>treatment</v>
      </c>
      <c r="D2667" s="1" t="str">
        <f>IFERROR(__xludf.DUMMYFUNCTION("""COMPUTED_VALUE"""),"new_page")</f>
        <v>new_page</v>
      </c>
      <c r="E2667" s="1">
        <f>IFERROR(__xludf.DUMMYFUNCTION("""COMPUTED_VALUE"""),0.0)</f>
        <v>0</v>
      </c>
    </row>
    <row r="2668">
      <c r="A2668" s="1">
        <f>IFERROR(__xludf.DUMMYFUNCTION("""COMPUTED_VALUE"""),861396.0)</f>
        <v>861396</v>
      </c>
      <c r="B2668" s="2">
        <f>IFERROR(__xludf.DUMMYFUNCTION("""COMPUTED_VALUE"""),42739.20321120443)</f>
        <v>42739.20321</v>
      </c>
      <c r="C2668" s="1" t="str">
        <f>IFERROR(__xludf.DUMMYFUNCTION("""COMPUTED_VALUE"""),"control")</f>
        <v>control</v>
      </c>
      <c r="D2668" s="1" t="str">
        <f>IFERROR(__xludf.DUMMYFUNCTION("""COMPUTED_VALUE"""),"old_page")</f>
        <v>old_page</v>
      </c>
      <c r="E2668" s="1">
        <f>IFERROR(__xludf.DUMMYFUNCTION("""COMPUTED_VALUE"""),1.0)</f>
        <v>1</v>
      </c>
    </row>
    <row r="2669">
      <c r="A2669" s="1">
        <f>IFERROR(__xludf.DUMMYFUNCTION("""COMPUTED_VALUE"""),896495.0)</f>
        <v>896495</v>
      </c>
      <c r="B2669" s="2">
        <f>IFERROR(__xludf.DUMMYFUNCTION("""COMPUTED_VALUE"""),42750.52055523846)</f>
        <v>42750.52056</v>
      </c>
      <c r="C2669" s="1" t="str">
        <f>IFERROR(__xludf.DUMMYFUNCTION("""COMPUTED_VALUE"""),"treatment")</f>
        <v>treatment</v>
      </c>
      <c r="D2669" s="1" t="str">
        <f>IFERROR(__xludf.DUMMYFUNCTION("""COMPUTED_VALUE"""),"new_page")</f>
        <v>new_page</v>
      </c>
      <c r="E2669" s="1">
        <f>IFERROR(__xludf.DUMMYFUNCTION("""COMPUTED_VALUE"""),0.0)</f>
        <v>0</v>
      </c>
    </row>
    <row r="2670">
      <c r="A2670" s="1">
        <f>IFERROR(__xludf.DUMMYFUNCTION("""COMPUTED_VALUE"""),818968.0)</f>
        <v>818968</v>
      </c>
      <c r="B2670" s="2">
        <f>IFERROR(__xludf.DUMMYFUNCTION("""COMPUTED_VALUE"""),42746.738365695324)</f>
        <v>42746.73837</v>
      </c>
      <c r="C2670" s="1" t="str">
        <f>IFERROR(__xludf.DUMMYFUNCTION("""COMPUTED_VALUE"""),"treatment")</f>
        <v>treatment</v>
      </c>
      <c r="D2670" s="1" t="str">
        <f>IFERROR(__xludf.DUMMYFUNCTION("""COMPUTED_VALUE"""),"new_page")</f>
        <v>new_page</v>
      </c>
      <c r="E2670" s="1">
        <f>IFERROR(__xludf.DUMMYFUNCTION("""COMPUTED_VALUE"""),1.0)</f>
        <v>1</v>
      </c>
    </row>
    <row r="2671">
      <c r="A2671" s="1">
        <f>IFERROR(__xludf.DUMMYFUNCTION("""COMPUTED_VALUE"""),924661.0)</f>
        <v>924661</v>
      </c>
      <c r="B2671" s="2">
        <f>IFERROR(__xludf.DUMMYFUNCTION("""COMPUTED_VALUE"""),42740.67936839147)</f>
        <v>42740.67937</v>
      </c>
      <c r="C2671" s="1" t="str">
        <f>IFERROR(__xludf.DUMMYFUNCTION("""COMPUTED_VALUE"""),"control")</f>
        <v>control</v>
      </c>
      <c r="D2671" s="1" t="str">
        <f>IFERROR(__xludf.DUMMYFUNCTION("""COMPUTED_VALUE"""),"old_page")</f>
        <v>old_page</v>
      </c>
      <c r="E2671" s="1">
        <f>IFERROR(__xludf.DUMMYFUNCTION("""COMPUTED_VALUE"""),0.0)</f>
        <v>0</v>
      </c>
    </row>
    <row r="2672">
      <c r="A2672" s="1">
        <f>IFERROR(__xludf.DUMMYFUNCTION("""COMPUTED_VALUE"""),773495.0)</f>
        <v>773495</v>
      </c>
      <c r="B2672" s="2">
        <f>IFERROR(__xludf.DUMMYFUNCTION("""COMPUTED_VALUE"""),42753.7559330648)</f>
        <v>42753.75593</v>
      </c>
      <c r="C2672" s="1" t="str">
        <f>IFERROR(__xludf.DUMMYFUNCTION("""COMPUTED_VALUE"""),"treatment")</f>
        <v>treatment</v>
      </c>
      <c r="D2672" s="1" t="str">
        <f>IFERROR(__xludf.DUMMYFUNCTION("""COMPUTED_VALUE"""),"new_page")</f>
        <v>new_page</v>
      </c>
      <c r="E2672" s="1">
        <f>IFERROR(__xludf.DUMMYFUNCTION("""COMPUTED_VALUE"""),0.0)</f>
        <v>0</v>
      </c>
    </row>
    <row r="2673">
      <c r="A2673" s="1">
        <f>IFERROR(__xludf.DUMMYFUNCTION("""COMPUTED_VALUE"""),724631.0)</f>
        <v>724631</v>
      </c>
      <c r="B2673" s="2">
        <f>IFERROR(__xludf.DUMMYFUNCTION("""COMPUTED_VALUE"""),42744.18028291876)</f>
        <v>42744.18028</v>
      </c>
      <c r="C2673" s="1" t="str">
        <f>IFERROR(__xludf.DUMMYFUNCTION("""COMPUTED_VALUE"""),"control")</f>
        <v>control</v>
      </c>
      <c r="D2673" s="1" t="str">
        <f>IFERROR(__xludf.DUMMYFUNCTION("""COMPUTED_VALUE"""),"old_page")</f>
        <v>old_page</v>
      </c>
      <c r="E2673" s="1">
        <f>IFERROR(__xludf.DUMMYFUNCTION("""COMPUTED_VALUE"""),0.0)</f>
        <v>0</v>
      </c>
    </row>
    <row r="2674">
      <c r="A2674" s="1">
        <f>IFERROR(__xludf.DUMMYFUNCTION("""COMPUTED_VALUE"""),648214.0)</f>
        <v>648214</v>
      </c>
      <c r="B2674" s="2">
        <f>IFERROR(__xludf.DUMMYFUNCTION("""COMPUTED_VALUE"""),42748.80731818771)</f>
        <v>42748.80732</v>
      </c>
      <c r="C2674" s="1" t="str">
        <f>IFERROR(__xludf.DUMMYFUNCTION("""COMPUTED_VALUE"""),"control")</f>
        <v>control</v>
      </c>
      <c r="D2674" s="1" t="str">
        <f>IFERROR(__xludf.DUMMYFUNCTION("""COMPUTED_VALUE"""),"old_page")</f>
        <v>old_page</v>
      </c>
      <c r="E2674" s="1">
        <f>IFERROR(__xludf.DUMMYFUNCTION("""COMPUTED_VALUE"""),0.0)</f>
        <v>0</v>
      </c>
    </row>
    <row r="2675">
      <c r="A2675" s="1">
        <f>IFERROR(__xludf.DUMMYFUNCTION("""COMPUTED_VALUE"""),889602.0)</f>
        <v>889602</v>
      </c>
      <c r="B2675" s="2">
        <f>IFERROR(__xludf.DUMMYFUNCTION("""COMPUTED_VALUE"""),42757.70055326486)</f>
        <v>42757.70055</v>
      </c>
      <c r="C2675" s="1" t="str">
        <f>IFERROR(__xludf.DUMMYFUNCTION("""COMPUTED_VALUE"""),"control")</f>
        <v>control</v>
      </c>
      <c r="D2675" s="1" t="str">
        <f>IFERROR(__xludf.DUMMYFUNCTION("""COMPUTED_VALUE"""),"old_page")</f>
        <v>old_page</v>
      </c>
      <c r="E2675" s="1">
        <f>IFERROR(__xludf.DUMMYFUNCTION("""COMPUTED_VALUE"""),0.0)</f>
        <v>0</v>
      </c>
    </row>
    <row r="2676">
      <c r="A2676" s="1">
        <f>IFERROR(__xludf.DUMMYFUNCTION("""COMPUTED_VALUE"""),669114.0)</f>
        <v>669114</v>
      </c>
      <c r="B2676" s="2">
        <f>IFERROR(__xludf.DUMMYFUNCTION("""COMPUTED_VALUE"""),42752.067829376065)</f>
        <v>42752.06783</v>
      </c>
      <c r="C2676" s="1" t="str">
        <f>IFERROR(__xludf.DUMMYFUNCTION("""COMPUTED_VALUE"""),"control")</f>
        <v>control</v>
      </c>
      <c r="D2676" s="1" t="str">
        <f>IFERROR(__xludf.DUMMYFUNCTION("""COMPUTED_VALUE"""),"old_page")</f>
        <v>old_page</v>
      </c>
      <c r="E2676" s="1">
        <f>IFERROR(__xludf.DUMMYFUNCTION("""COMPUTED_VALUE"""),0.0)</f>
        <v>0</v>
      </c>
    </row>
    <row r="2677">
      <c r="A2677" s="1">
        <f>IFERROR(__xludf.DUMMYFUNCTION("""COMPUTED_VALUE"""),937211.0)</f>
        <v>937211</v>
      </c>
      <c r="B2677" s="2">
        <f>IFERROR(__xludf.DUMMYFUNCTION("""COMPUTED_VALUE"""),42753.28247577116)</f>
        <v>42753.28248</v>
      </c>
      <c r="C2677" s="1" t="str">
        <f>IFERROR(__xludf.DUMMYFUNCTION("""COMPUTED_VALUE"""),"treatment")</f>
        <v>treatment</v>
      </c>
      <c r="D2677" s="1" t="str">
        <f>IFERROR(__xludf.DUMMYFUNCTION("""COMPUTED_VALUE"""),"new_page")</f>
        <v>new_page</v>
      </c>
      <c r="E2677" s="1">
        <f>IFERROR(__xludf.DUMMYFUNCTION("""COMPUTED_VALUE"""),1.0)</f>
        <v>1</v>
      </c>
    </row>
    <row r="2678">
      <c r="A2678" s="1">
        <f>IFERROR(__xludf.DUMMYFUNCTION("""COMPUTED_VALUE"""),709844.0)</f>
        <v>709844</v>
      </c>
      <c r="B2678" s="2">
        <f>IFERROR(__xludf.DUMMYFUNCTION("""COMPUTED_VALUE"""),42758.52068084083)</f>
        <v>42758.52068</v>
      </c>
      <c r="C2678" s="1" t="str">
        <f>IFERROR(__xludf.DUMMYFUNCTION("""COMPUTED_VALUE"""),"control")</f>
        <v>control</v>
      </c>
      <c r="D2678" s="1" t="str">
        <f>IFERROR(__xludf.DUMMYFUNCTION("""COMPUTED_VALUE"""),"old_page")</f>
        <v>old_page</v>
      </c>
      <c r="E2678" s="1">
        <f>IFERROR(__xludf.DUMMYFUNCTION("""COMPUTED_VALUE"""),0.0)</f>
        <v>0</v>
      </c>
    </row>
    <row r="2679">
      <c r="A2679" s="1">
        <f>IFERROR(__xludf.DUMMYFUNCTION("""COMPUTED_VALUE"""),707589.0)</f>
        <v>707589</v>
      </c>
      <c r="B2679" s="2">
        <f>IFERROR(__xludf.DUMMYFUNCTION("""COMPUTED_VALUE"""),42753.45126372105)</f>
        <v>42753.45126</v>
      </c>
      <c r="C2679" s="1" t="str">
        <f>IFERROR(__xludf.DUMMYFUNCTION("""COMPUTED_VALUE"""),"treatment")</f>
        <v>treatment</v>
      </c>
      <c r="D2679" s="1" t="str">
        <f>IFERROR(__xludf.DUMMYFUNCTION("""COMPUTED_VALUE"""),"new_page")</f>
        <v>new_page</v>
      </c>
      <c r="E2679" s="1">
        <f>IFERROR(__xludf.DUMMYFUNCTION("""COMPUTED_VALUE"""),0.0)</f>
        <v>0</v>
      </c>
    </row>
    <row r="2680">
      <c r="A2680" s="1">
        <f>IFERROR(__xludf.DUMMYFUNCTION("""COMPUTED_VALUE"""),666278.0)</f>
        <v>666278</v>
      </c>
      <c r="B2680" s="2">
        <f>IFERROR(__xludf.DUMMYFUNCTION("""COMPUTED_VALUE"""),42748.75551352332)</f>
        <v>42748.75551</v>
      </c>
      <c r="C2680" s="1" t="str">
        <f>IFERROR(__xludf.DUMMYFUNCTION("""COMPUTED_VALUE"""),"treatment")</f>
        <v>treatment</v>
      </c>
      <c r="D2680" s="1" t="str">
        <f>IFERROR(__xludf.DUMMYFUNCTION("""COMPUTED_VALUE"""),"new_page")</f>
        <v>new_page</v>
      </c>
      <c r="E2680" s="1">
        <f>IFERROR(__xludf.DUMMYFUNCTION("""COMPUTED_VALUE"""),0.0)</f>
        <v>0</v>
      </c>
    </row>
    <row r="2681">
      <c r="A2681" s="1">
        <f>IFERROR(__xludf.DUMMYFUNCTION("""COMPUTED_VALUE"""),727204.0)</f>
        <v>727204</v>
      </c>
      <c r="B2681" s="2">
        <f>IFERROR(__xludf.DUMMYFUNCTION("""COMPUTED_VALUE"""),42756.67818356444)</f>
        <v>42756.67818</v>
      </c>
      <c r="C2681" s="1" t="str">
        <f>IFERROR(__xludf.DUMMYFUNCTION("""COMPUTED_VALUE"""),"treatment")</f>
        <v>treatment</v>
      </c>
      <c r="D2681" s="1" t="str">
        <f>IFERROR(__xludf.DUMMYFUNCTION("""COMPUTED_VALUE"""),"new_page")</f>
        <v>new_page</v>
      </c>
      <c r="E2681" s="1">
        <f>IFERROR(__xludf.DUMMYFUNCTION("""COMPUTED_VALUE"""),0.0)</f>
        <v>0</v>
      </c>
    </row>
    <row r="2682">
      <c r="A2682" s="1">
        <f>IFERROR(__xludf.DUMMYFUNCTION("""COMPUTED_VALUE"""),650251.0)</f>
        <v>650251</v>
      </c>
      <c r="B2682" s="2">
        <f>IFERROR(__xludf.DUMMYFUNCTION("""COMPUTED_VALUE"""),42751.83591696278)</f>
        <v>42751.83592</v>
      </c>
      <c r="C2682" s="1" t="str">
        <f>IFERROR(__xludf.DUMMYFUNCTION("""COMPUTED_VALUE"""),"control")</f>
        <v>control</v>
      </c>
      <c r="D2682" s="1" t="str">
        <f>IFERROR(__xludf.DUMMYFUNCTION("""COMPUTED_VALUE"""),"old_page")</f>
        <v>old_page</v>
      </c>
      <c r="E2682" s="1">
        <f>IFERROR(__xludf.DUMMYFUNCTION("""COMPUTED_VALUE"""),1.0)</f>
        <v>1</v>
      </c>
    </row>
    <row r="2683">
      <c r="A2683" s="1">
        <f>IFERROR(__xludf.DUMMYFUNCTION("""COMPUTED_VALUE"""),664084.0)</f>
        <v>664084</v>
      </c>
      <c r="B2683" s="2">
        <f>IFERROR(__xludf.DUMMYFUNCTION("""COMPUTED_VALUE"""),42758.5597980022)</f>
        <v>42758.5598</v>
      </c>
      <c r="C2683" s="1" t="str">
        <f>IFERROR(__xludf.DUMMYFUNCTION("""COMPUTED_VALUE"""),"control")</f>
        <v>control</v>
      </c>
      <c r="D2683" s="1" t="str">
        <f>IFERROR(__xludf.DUMMYFUNCTION("""COMPUTED_VALUE"""),"old_page")</f>
        <v>old_page</v>
      </c>
      <c r="E2683" s="1">
        <f>IFERROR(__xludf.DUMMYFUNCTION("""COMPUTED_VALUE"""),0.0)</f>
        <v>0</v>
      </c>
    </row>
    <row r="2684">
      <c r="A2684" s="1">
        <f>IFERROR(__xludf.DUMMYFUNCTION("""COMPUTED_VALUE"""),645674.0)</f>
        <v>645674</v>
      </c>
      <c r="B2684" s="2">
        <f>IFERROR(__xludf.DUMMYFUNCTION("""COMPUTED_VALUE"""),42751.20010952102)</f>
        <v>42751.20011</v>
      </c>
      <c r="C2684" s="1" t="str">
        <f>IFERROR(__xludf.DUMMYFUNCTION("""COMPUTED_VALUE"""),"control")</f>
        <v>control</v>
      </c>
      <c r="D2684" s="1" t="str">
        <f>IFERROR(__xludf.DUMMYFUNCTION("""COMPUTED_VALUE"""),"old_page")</f>
        <v>old_page</v>
      </c>
      <c r="E2684" s="1">
        <f>IFERROR(__xludf.DUMMYFUNCTION("""COMPUTED_VALUE"""),0.0)</f>
        <v>0</v>
      </c>
    </row>
    <row r="2685">
      <c r="A2685" s="1">
        <f>IFERROR(__xludf.DUMMYFUNCTION("""COMPUTED_VALUE"""),703817.0)</f>
        <v>703817</v>
      </c>
      <c r="B2685" s="2">
        <f>IFERROR(__xludf.DUMMYFUNCTION("""COMPUTED_VALUE"""),42743.899054400266)</f>
        <v>42743.89905</v>
      </c>
      <c r="C2685" s="1" t="str">
        <f>IFERROR(__xludf.DUMMYFUNCTION("""COMPUTED_VALUE"""),"treatment")</f>
        <v>treatment</v>
      </c>
      <c r="D2685" s="1" t="str">
        <f>IFERROR(__xludf.DUMMYFUNCTION("""COMPUTED_VALUE"""),"new_page")</f>
        <v>new_page</v>
      </c>
      <c r="E2685" s="1">
        <f>IFERROR(__xludf.DUMMYFUNCTION("""COMPUTED_VALUE"""),0.0)</f>
        <v>0</v>
      </c>
    </row>
    <row r="2686">
      <c r="A2686" s="1">
        <f>IFERROR(__xludf.DUMMYFUNCTION("""COMPUTED_VALUE"""),894302.0)</f>
        <v>894302</v>
      </c>
      <c r="B2686" s="2">
        <f>IFERROR(__xludf.DUMMYFUNCTION("""COMPUTED_VALUE"""),42739.760080253865)</f>
        <v>42739.76008</v>
      </c>
      <c r="C2686" s="1" t="str">
        <f>IFERROR(__xludf.DUMMYFUNCTION("""COMPUTED_VALUE"""),"control")</f>
        <v>control</v>
      </c>
      <c r="D2686" s="1" t="str">
        <f>IFERROR(__xludf.DUMMYFUNCTION("""COMPUTED_VALUE"""),"old_page")</f>
        <v>old_page</v>
      </c>
      <c r="E2686" s="1">
        <f>IFERROR(__xludf.DUMMYFUNCTION("""COMPUTED_VALUE"""),1.0)</f>
        <v>1</v>
      </c>
    </row>
    <row r="2687">
      <c r="A2687" s="1">
        <f>IFERROR(__xludf.DUMMYFUNCTION("""COMPUTED_VALUE"""),749862.0)</f>
        <v>749862</v>
      </c>
      <c r="B2687" s="2">
        <f>IFERROR(__xludf.DUMMYFUNCTION("""COMPUTED_VALUE"""),42755.18360439011)</f>
        <v>42755.1836</v>
      </c>
      <c r="C2687" s="1" t="str">
        <f>IFERROR(__xludf.DUMMYFUNCTION("""COMPUTED_VALUE"""),"control")</f>
        <v>control</v>
      </c>
      <c r="D2687" s="1" t="str">
        <f>IFERROR(__xludf.DUMMYFUNCTION("""COMPUTED_VALUE"""),"old_page")</f>
        <v>old_page</v>
      </c>
      <c r="E2687" s="1">
        <f>IFERROR(__xludf.DUMMYFUNCTION("""COMPUTED_VALUE"""),0.0)</f>
        <v>0</v>
      </c>
    </row>
    <row r="2688">
      <c r="A2688" s="1">
        <f>IFERROR(__xludf.DUMMYFUNCTION("""COMPUTED_VALUE"""),773253.0)</f>
        <v>773253</v>
      </c>
      <c r="B2688" s="2">
        <f>IFERROR(__xludf.DUMMYFUNCTION("""COMPUTED_VALUE"""),42747.99375915913)</f>
        <v>42747.99376</v>
      </c>
      <c r="C2688" s="1" t="str">
        <f>IFERROR(__xludf.DUMMYFUNCTION("""COMPUTED_VALUE"""),"control")</f>
        <v>control</v>
      </c>
      <c r="D2688" s="1" t="str">
        <f>IFERROR(__xludf.DUMMYFUNCTION("""COMPUTED_VALUE"""),"old_page")</f>
        <v>old_page</v>
      </c>
      <c r="E2688" s="1">
        <f>IFERROR(__xludf.DUMMYFUNCTION("""COMPUTED_VALUE"""),0.0)</f>
        <v>0</v>
      </c>
    </row>
    <row r="2689">
      <c r="A2689" s="1">
        <f>IFERROR(__xludf.DUMMYFUNCTION("""COMPUTED_VALUE"""),855961.0)</f>
        <v>855961</v>
      </c>
      <c r="B2689" s="2">
        <f>IFERROR(__xludf.DUMMYFUNCTION("""COMPUTED_VALUE"""),42754.13438562163)</f>
        <v>42754.13439</v>
      </c>
      <c r="C2689" s="1" t="str">
        <f>IFERROR(__xludf.DUMMYFUNCTION("""COMPUTED_VALUE"""),"treatment")</f>
        <v>treatment</v>
      </c>
      <c r="D2689" s="1" t="str">
        <f>IFERROR(__xludf.DUMMYFUNCTION("""COMPUTED_VALUE"""),"new_page")</f>
        <v>new_page</v>
      </c>
      <c r="E2689" s="1">
        <f>IFERROR(__xludf.DUMMYFUNCTION("""COMPUTED_VALUE"""),0.0)</f>
        <v>0</v>
      </c>
    </row>
    <row r="2690">
      <c r="A2690" s="1">
        <f>IFERROR(__xludf.DUMMYFUNCTION("""COMPUTED_VALUE"""),838389.0)</f>
        <v>838389</v>
      </c>
      <c r="B2690" s="2">
        <f>IFERROR(__xludf.DUMMYFUNCTION("""COMPUTED_VALUE"""),42739.10279381925)</f>
        <v>42739.10279</v>
      </c>
      <c r="C2690" s="1" t="str">
        <f>IFERROR(__xludf.DUMMYFUNCTION("""COMPUTED_VALUE"""),"treatment")</f>
        <v>treatment</v>
      </c>
      <c r="D2690" s="1" t="str">
        <f>IFERROR(__xludf.DUMMYFUNCTION("""COMPUTED_VALUE"""),"new_page")</f>
        <v>new_page</v>
      </c>
      <c r="E2690" s="1">
        <f>IFERROR(__xludf.DUMMYFUNCTION("""COMPUTED_VALUE"""),0.0)</f>
        <v>0</v>
      </c>
    </row>
    <row r="2691">
      <c r="A2691" s="1">
        <f>IFERROR(__xludf.DUMMYFUNCTION("""COMPUTED_VALUE"""),793494.0)</f>
        <v>793494</v>
      </c>
      <c r="B2691" s="2">
        <f>IFERROR(__xludf.DUMMYFUNCTION("""COMPUTED_VALUE"""),42744.08968210975)</f>
        <v>42744.08968</v>
      </c>
      <c r="C2691" s="1" t="str">
        <f>IFERROR(__xludf.DUMMYFUNCTION("""COMPUTED_VALUE"""),"treatment")</f>
        <v>treatment</v>
      </c>
      <c r="D2691" s="1" t="str">
        <f>IFERROR(__xludf.DUMMYFUNCTION("""COMPUTED_VALUE"""),"old_page")</f>
        <v>old_page</v>
      </c>
      <c r="E2691" s="1">
        <f>IFERROR(__xludf.DUMMYFUNCTION("""COMPUTED_VALUE"""),0.0)</f>
        <v>0</v>
      </c>
    </row>
    <row r="2692">
      <c r="A2692" s="1">
        <f>IFERROR(__xludf.DUMMYFUNCTION("""COMPUTED_VALUE"""),712943.0)</f>
        <v>712943</v>
      </c>
      <c r="B2692" s="2">
        <f>IFERROR(__xludf.DUMMYFUNCTION("""COMPUTED_VALUE"""),42753.32391662803)</f>
        <v>42753.32392</v>
      </c>
      <c r="C2692" s="1" t="str">
        <f>IFERROR(__xludf.DUMMYFUNCTION("""COMPUTED_VALUE"""),"control")</f>
        <v>control</v>
      </c>
      <c r="D2692" s="1" t="str">
        <f>IFERROR(__xludf.DUMMYFUNCTION("""COMPUTED_VALUE"""),"old_page")</f>
        <v>old_page</v>
      </c>
      <c r="E2692" s="1">
        <f>IFERROR(__xludf.DUMMYFUNCTION("""COMPUTED_VALUE"""),0.0)</f>
        <v>0</v>
      </c>
    </row>
    <row r="2693">
      <c r="A2693" s="1">
        <f>IFERROR(__xludf.DUMMYFUNCTION("""COMPUTED_VALUE"""),801835.0)</f>
        <v>801835</v>
      </c>
      <c r="B2693" s="2">
        <f>IFERROR(__xludf.DUMMYFUNCTION("""COMPUTED_VALUE"""),42756.818040479615)</f>
        <v>42756.81804</v>
      </c>
      <c r="C2693" s="1" t="str">
        <f>IFERROR(__xludf.DUMMYFUNCTION("""COMPUTED_VALUE"""),"control")</f>
        <v>control</v>
      </c>
      <c r="D2693" s="1" t="str">
        <f>IFERROR(__xludf.DUMMYFUNCTION("""COMPUTED_VALUE"""),"old_page")</f>
        <v>old_page</v>
      </c>
      <c r="E2693" s="1">
        <f>IFERROR(__xludf.DUMMYFUNCTION("""COMPUTED_VALUE"""),1.0)</f>
        <v>1</v>
      </c>
    </row>
    <row r="2694">
      <c r="A2694" s="1">
        <f>IFERROR(__xludf.DUMMYFUNCTION("""COMPUTED_VALUE"""),922704.0)</f>
        <v>922704</v>
      </c>
      <c r="B2694" s="2">
        <f>IFERROR(__xludf.DUMMYFUNCTION("""COMPUTED_VALUE"""),42753.22756502331)</f>
        <v>42753.22757</v>
      </c>
      <c r="C2694" s="1" t="str">
        <f>IFERROR(__xludf.DUMMYFUNCTION("""COMPUTED_VALUE"""),"control")</f>
        <v>control</v>
      </c>
      <c r="D2694" s="1" t="str">
        <f>IFERROR(__xludf.DUMMYFUNCTION("""COMPUTED_VALUE"""),"old_page")</f>
        <v>old_page</v>
      </c>
      <c r="E2694" s="1">
        <f>IFERROR(__xludf.DUMMYFUNCTION("""COMPUTED_VALUE"""),0.0)</f>
        <v>0</v>
      </c>
    </row>
    <row r="2695">
      <c r="A2695" s="1">
        <f>IFERROR(__xludf.DUMMYFUNCTION("""COMPUTED_VALUE"""),736615.0)</f>
        <v>736615</v>
      </c>
      <c r="B2695" s="2">
        <f>IFERROR(__xludf.DUMMYFUNCTION("""COMPUTED_VALUE"""),42749.63609149362)</f>
        <v>42749.63609</v>
      </c>
      <c r="C2695" s="1" t="str">
        <f>IFERROR(__xludf.DUMMYFUNCTION("""COMPUTED_VALUE"""),"treatment")</f>
        <v>treatment</v>
      </c>
      <c r="D2695" s="1" t="str">
        <f>IFERROR(__xludf.DUMMYFUNCTION("""COMPUTED_VALUE"""),"new_page")</f>
        <v>new_page</v>
      </c>
      <c r="E2695" s="1">
        <f>IFERROR(__xludf.DUMMYFUNCTION("""COMPUTED_VALUE"""),0.0)</f>
        <v>0</v>
      </c>
    </row>
    <row r="2696">
      <c r="A2696" s="1">
        <f>IFERROR(__xludf.DUMMYFUNCTION("""COMPUTED_VALUE"""),935838.0)</f>
        <v>935838</v>
      </c>
      <c r="B2696" s="2">
        <f>IFERROR(__xludf.DUMMYFUNCTION("""COMPUTED_VALUE"""),42756.70436168206)</f>
        <v>42756.70436</v>
      </c>
      <c r="C2696" s="1" t="str">
        <f>IFERROR(__xludf.DUMMYFUNCTION("""COMPUTED_VALUE"""),"control")</f>
        <v>control</v>
      </c>
      <c r="D2696" s="1" t="str">
        <f>IFERROR(__xludf.DUMMYFUNCTION("""COMPUTED_VALUE"""),"old_page")</f>
        <v>old_page</v>
      </c>
      <c r="E2696" s="1">
        <f>IFERROR(__xludf.DUMMYFUNCTION("""COMPUTED_VALUE"""),0.0)</f>
        <v>0</v>
      </c>
    </row>
    <row r="2697">
      <c r="A2697" s="1">
        <f>IFERROR(__xludf.DUMMYFUNCTION("""COMPUTED_VALUE"""),848599.0)</f>
        <v>848599</v>
      </c>
      <c r="B2697" s="2">
        <f>IFERROR(__xludf.DUMMYFUNCTION("""COMPUTED_VALUE"""),42746.42348359188)</f>
        <v>42746.42348</v>
      </c>
      <c r="C2697" s="1" t="str">
        <f>IFERROR(__xludf.DUMMYFUNCTION("""COMPUTED_VALUE"""),"control")</f>
        <v>control</v>
      </c>
      <c r="D2697" s="1" t="str">
        <f>IFERROR(__xludf.DUMMYFUNCTION("""COMPUTED_VALUE"""),"old_page")</f>
        <v>old_page</v>
      </c>
      <c r="E2697" s="1">
        <f>IFERROR(__xludf.DUMMYFUNCTION("""COMPUTED_VALUE"""),0.0)</f>
        <v>0</v>
      </c>
    </row>
    <row r="2698">
      <c r="A2698" s="1">
        <f>IFERROR(__xludf.DUMMYFUNCTION("""COMPUTED_VALUE"""),883510.0)</f>
        <v>883510</v>
      </c>
      <c r="B2698" s="2">
        <f>IFERROR(__xludf.DUMMYFUNCTION("""COMPUTED_VALUE"""),42738.27691633832)</f>
        <v>42738.27692</v>
      </c>
      <c r="C2698" s="1" t="str">
        <f>IFERROR(__xludf.DUMMYFUNCTION("""COMPUTED_VALUE"""),"control")</f>
        <v>control</v>
      </c>
      <c r="D2698" s="1" t="str">
        <f>IFERROR(__xludf.DUMMYFUNCTION("""COMPUTED_VALUE"""),"old_page")</f>
        <v>old_page</v>
      </c>
      <c r="E2698" s="1">
        <f>IFERROR(__xludf.DUMMYFUNCTION("""COMPUTED_VALUE"""),1.0)</f>
        <v>1</v>
      </c>
    </row>
    <row r="2699">
      <c r="A2699" s="1">
        <f>IFERROR(__xludf.DUMMYFUNCTION("""COMPUTED_VALUE"""),670914.0)</f>
        <v>670914</v>
      </c>
      <c r="B2699" s="2">
        <f>IFERROR(__xludf.DUMMYFUNCTION("""COMPUTED_VALUE"""),42747.992149821795)</f>
        <v>42747.99215</v>
      </c>
      <c r="C2699" s="1" t="str">
        <f>IFERROR(__xludf.DUMMYFUNCTION("""COMPUTED_VALUE"""),"treatment")</f>
        <v>treatment</v>
      </c>
      <c r="D2699" s="1" t="str">
        <f>IFERROR(__xludf.DUMMYFUNCTION("""COMPUTED_VALUE"""),"new_page")</f>
        <v>new_page</v>
      </c>
      <c r="E2699" s="1">
        <f>IFERROR(__xludf.DUMMYFUNCTION("""COMPUTED_VALUE"""),0.0)</f>
        <v>0</v>
      </c>
    </row>
    <row r="2700">
      <c r="A2700" s="1">
        <f>IFERROR(__xludf.DUMMYFUNCTION("""COMPUTED_VALUE"""),659490.0)</f>
        <v>659490</v>
      </c>
      <c r="B2700" s="2">
        <f>IFERROR(__xludf.DUMMYFUNCTION("""COMPUTED_VALUE"""),42741.7333872075)</f>
        <v>42741.73339</v>
      </c>
      <c r="C2700" s="1" t="str">
        <f>IFERROR(__xludf.DUMMYFUNCTION("""COMPUTED_VALUE"""),"treatment")</f>
        <v>treatment</v>
      </c>
      <c r="D2700" s="1" t="str">
        <f>IFERROR(__xludf.DUMMYFUNCTION("""COMPUTED_VALUE"""),"new_page")</f>
        <v>new_page</v>
      </c>
      <c r="E2700" s="1">
        <f>IFERROR(__xludf.DUMMYFUNCTION("""COMPUTED_VALUE"""),1.0)</f>
        <v>1</v>
      </c>
    </row>
    <row r="2701">
      <c r="A2701" s="1">
        <f>IFERROR(__xludf.DUMMYFUNCTION("""COMPUTED_VALUE"""),904283.0)</f>
        <v>904283</v>
      </c>
      <c r="B2701" s="2">
        <f>IFERROR(__xludf.DUMMYFUNCTION("""COMPUTED_VALUE"""),42753.04587566958)</f>
        <v>42753.04588</v>
      </c>
      <c r="C2701" s="1" t="str">
        <f>IFERROR(__xludf.DUMMYFUNCTION("""COMPUTED_VALUE"""),"treatment")</f>
        <v>treatment</v>
      </c>
      <c r="D2701" s="1" t="str">
        <f>IFERROR(__xludf.DUMMYFUNCTION("""COMPUTED_VALUE"""),"new_page")</f>
        <v>new_page</v>
      </c>
      <c r="E2701" s="1">
        <f>IFERROR(__xludf.DUMMYFUNCTION("""COMPUTED_VALUE"""),1.0)</f>
        <v>1</v>
      </c>
    </row>
    <row r="2702">
      <c r="A2702" s="1">
        <f>IFERROR(__xludf.DUMMYFUNCTION("""COMPUTED_VALUE"""),663366.0)</f>
        <v>663366</v>
      </c>
      <c r="B2702" s="2">
        <f>IFERROR(__xludf.DUMMYFUNCTION("""COMPUTED_VALUE"""),42750.16225126626)</f>
        <v>42750.16225</v>
      </c>
      <c r="C2702" s="1" t="str">
        <f>IFERROR(__xludf.DUMMYFUNCTION("""COMPUTED_VALUE"""),"control")</f>
        <v>control</v>
      </c>
      <c r="D2702" s="1" t="str">
        <f>IFERROR(__xludf.DUMMYFUNCTION("""COMPUTED_VALUE"""),"old_page")</f>
        <v>old_page</v>
      </c>
      <c r="E2702" s="1">
        <f>IFERROR(__xludf.DUMMYFUNCTION("""COMPUTED_VALUE"""),0.0)</f>
        <v>0</v>
      </c>
    </row>
    <row r="2703">
      <c r="A2703" s="1">
        <f>IFERROR(__xludf.DUMMYFUNCTION("""COMPUTED_VALUE"""),865400.0)</f>
        <v>865400</v>
      </c>
      <c r="B2703" s="2">
        <f>IFERROR(__xludf.DUMMYFUNCTION("""COMPUTED_VALUE"""),42757.14169612702)</f>
        <v>42757.1417</v>
      </c>
      <c r="C2703" s="1" t="str">
        <f>IFERROR(__xludf.DUMMYFUNCTION("""COMPUTED_VALUE"""),"control")</f>
        <v>control</v>
      </c>
      <c r="D2703" s="1" t="str">
        <f>IFERROR(__xludf.DUMMYFUNCTION("""COMPUTED_VALUE"""),"old_page")</f>
        <v>old_page</v>
      </c>
      <c r="E2703" s="1">
        <f>IFERROR(__xludf.DUMMYFUNCTION("""COMPUTED_VALUE"""),0.0)</f>
        <v>0</v>
      </c>
    </row>
    <row r="2704">
      <c r="A2704" s="1">
        <f>IFERROR(__xludf.DUMMYFUNCTION("""COMPUTED_VALUE"""),759395.0)</f>
        <v>759395</v>
      </c>
      <c r="B2704" s="2">
        <f>IFERROR(__xludf.DUMMYFUNCTION("""COMPUTED_VALUE"""),42741.25292277529)</f>
        <v>42741.25292</v>
      </c>
      <c r="C2704" s="1" t="str">
        <f>IFERROR(__xludf.DUMMYFUNCTION("""COMPUTED_VALUE"""),"treatment")</f>
        <v>treatment</v>
      </c>
      <c r="D2704" s="1" t="str">
        <f>IFERROR(__xludf.DUMMYFUNCTION("""COMPUTED_VALUE"""),"new_page")</f>
        <v>new_page</v>
      </c>
      <c r="E2704" s="1">
        <f>IFERROR(__xludf.DUMMYFUNCTION("""COMPUTED_VALUE"""),1.0)</f>
        <v>1</v>
      </c>
    </row>
    <row r="2705">
      <c r="A2705" s="1">
        <f>IFERROR(__xludf.DUMMYFUNCTION("""COMPUTED_VALUE"""),787942.0)</f>
        <v>787942</v>
      </c>
      <c r="B2705" s="2">
        <f>IFERROR(__xludf.DUMMYFUNCTION("""COMPUTED_VALUE"""),42747.20328575125)</f>
        <v>42747.20329</v>
      </c>
      <c r="C2705" s="1" t="str">
        <f>IFERROR(__xludf.DUMMYFUNCTION("""COMPUTED_VALUE"""),"control")</f>
        <v>control</v>
      </c>
      <c r="D2705" s="1" t="str">
        <f>IFERROR(__xludf.DUMMYFUNCTION("""COMPUTED_VALUE"""),"old_page")</f>
        <v>old_page</v>
      </c>
      <c r="E2705" s="1">
        <f>IFERROR(__xludf.DUMMYFUNCTION("""COMPUTED_VALUE"""),0.0)</f>
        <v>0</v>
      </c>
    </row>
    <row r="2706">
      <c r="A2706" s="1">
        <f>IFERROR(__xludf.DUMMYFUNCTION("""COMPUTED_VALUE"""),799400.0)</f>
        <v>799400</v>
      </c>
      <c r="B2706" s="2">
        <f>IFERROR(__xludf.DUMMYFUNCTION("""COMPUTED_VALUE"""),42740.13953245656)</f>
        <v>42740.13953</v>
      </c>
      <c r="C2706" s="1" t="str">
        <f>IFERROR(__xludf.DUMMYFUNCTION("""COMPUTED_VALUE"""),"treatment")</f>
        <v>treatment</v>
      </c>
      <c r="D2706" s="1" t="str">
        <f>IFERROR(__xludf.DUMMYFUNCTION("""COMPUTED_VALUE"""),"new_page")</f>
        <v>new_page</v>
      </c>
      <c r="E2706" s="1">
        <f>IFERROR(__xludf.DUMMYFUNCTION("""COMPUTED_VALUE"""),0.0)</f>
        <v>0</v>
      </c>
    </row>
    <row r="2707">
      <c r="A2707" s="1">
        <f>IFERROR(__xludf.DUMMYFUNCTION("""COMPUTED_VALUE"""),867151.0)</f>
        <v>867151</v>
      </c>
      <c r="B2707" s="2">
        <f>IFERROR(__xludf.DUMMYFUNCTION("""COMPUTED_VALUE"""),42751.95347520428)</f>
        <v>42751.95348</v>
      </c>
      <c r="C2707" s="1" t="str">
        <f>IFERROR(__xludf.DUMMYFUNCTION("""COMPUTED_VALUE"""),"control")</f>
        <v>control</v>
      </c>
      <c r="D2707" s="1" t="str">
        <f>IFERROR(__xludf.DUMMYFUNCTION("""COMPUTED_VALUE"""),"old_page")</f>
        <v>old_page</v>
      </c>
      <c r="E2707" s="1">
        <f>IFERROR(__xludf.DUMMYFUNCTION("""COMPUTED_VALUE"""),0.0)</f>
        <v>0</v>
      </c>
    </row>
    <row r="2708">
      <c r="A2708" s="1">
        <f>IFERROR(__xludf.DUMMYFUNCTION("""COMPUTED_VALUE"""),826978.0)</f>
        <v>826978</v>
      </c>
      <c r="B2708" s="2">
        <f>IFERROR(__xludf.DUMMYFUNCTION("""COMPUTED_VALUE"""),42747.89251550232)</f>
        <v>42747.89252</v>
      </c>
      <c r="C2708" s="1" t="str">
        <f>IFERROR(__xludf.DUMMYFUNCTION("""COMPUTED_VALUE"""),"treatment")</f>
        <v>treatment</v>
      </c>
      <c r="D2708" s="1" t="str">
        <f>IFERROR(__xludf.DUMMYFUNCTION("""COMPUTED_VALUE"""),"new_page")</f>
        <v>new_page</v>
      </c>
      <c r="E2708" s="1">
        <f>IFERROR(__xludf.DUMMYFUNCTION("""COMPUTED_VALUE"""),0.0)</f>
        <v>0</v>
      </c>
    </row>
    <row r="2709">
      <c r="A2709" s="1">
        <f>IFERROR(__xludf.DUMMYFUNCTION("""COMPUTED_VALUE"""),945374.0)</f>
        <v>945374</v>
      </c>
      <c r="B2709" s="2">
        <f>IFERROR(__xludf.DUMMYFUNCTION("""COMPUTED_VALUE"""),42741.5211659025)</f>
        <v>42741.52117</v>
      </c>
      <c r="C2709" s="1" t="str">
        <f>IFERROR(__xludf.DUMMYFUNCTION("""COMPUTED_VALUE"""),"control")</f>
        <v>control</v>
      </c>
      <c r="D2709" s="1" t="str">
        <f>IFERROR(__xludf.DUMMYFUNCTION("""COMPUTED_VALUE"""),"old_page")</f>
        <v>old_page</v>
      </c>
      <c r="E2709" s="1">
        <f>IFERROR(__xludf.DUMMYFUNCTION("""COMPUTED_VALUE"""),0.0)</f>
        <v>0</v>
      </c>
    </row>
    <row r="2710">
      <c r="A2710" s="1">
        <f>IFERROR(__xludf.DUMMYFUNCTION("""COMPUTED_VALUE"""),923259.0)</f>
        <v>923259</v>
      </c>
      <c r="B2710" s="2">
        <f>IFERROR(__xludf.DUMMYFUNCTION("""COMPUTED_VALUE"""),42743.34855855183)</f>
        <v>42743.34856</v>
      </c>
      <c r="C2710" s="1" t="str">
        <f>IFERROR(__xludf.DUMMYFUNCTION("""COMPUTED_VALUE"""),"control")</f>
        <v>control</v>
      </c>
      <c r="D2710" s="1" t="str">
        <f>IFERROR(__xludf.DUMMYFUNCTION("""COMPUTED_VALUE"""),"old_page")</f>
        <v>old_page</v>
      </c>
      <c r="E2710" s="1">
        <f>IFERROR(__xludf.DUMMYFUNCTION("""COMPUTED_VALUE"""),0.0)</f>
        <v>0</v>
      </c>
    </row>
    <row r="2711">
      <c r="A2711" s="1">
        <f>IFERROR(__xludf.DUMMYFUNCTION("""COMPUTED_VALUE"""),904397.0)</f>
        <v>904397</v>
      </c>
      <c r="B2711" s="2">
        <f>IFERROR(__xludf.DUMMYFUNCTION("""COMPUTED_VALUE"""),42740.70452216307)</f>
        <v>42740.70452</v>
      </c>
      <c r="C2711" s="1" t="str">
        <f>IFERROR(__xludf.DUMMYFUNCTION("""COMPUTED_VALUE"""),"control")</f>
        <v>control</v>
      </c>
      <c r="D2711" s="1" t="str">
        <f>IFERROR(__xludf.DUMMYFUNCTION("""COMPUTED_VALUE"""),"old_page")</f>
        <v>old_page</v>
      </c>
      <c r="E2711" s="1">
        <f>IFERROR(__xludf.DUMMYFUNCTION("""COMPUTED_VALUE"""),0.0)</f>
        <v>0</v>
      </c>
    </row>
    <row r="2712">
      <c r="A2712" s="1">
        <f>IFERROR(__xludf.DUMMYFUNCTION("""COMPUTED_VALUE"""),658478.0)</f>
        <v>658478</v>
      </c>
      <c r="B2712" s="2">
        <f>IFERROR(__xludf.DUMMYFUNCTION("""COMPUTED_VALUE"""),42751.17281207891)</f>
        <v>42751.17281</v>
      </c>
      <c r="C2712" s="1" t="str">
        <f>IFERROR(__xludf.DUMMYFUNCTION("""COMPUTED_VALUE"""),"control")</f>
        <v>control</v>
      </c>
      <c r="D2712" s="1" t="str">
        <f>IFERROR(__xludf.DUMMYFUNCTION("""COMPUTED_VALUE"""),"old_page")</f>
        <v>old_page</v>
      </c>
      <c r="E2712" s="1">
        <f>IFERROR(__xludf.DUMMYFUNCTION("""COMPUTED_VALUE"""),0.0)</f>
        <v>0</v>
      </c>
    </row>
    <row r="2713">
      <c r="A2713" s="1">
        <f>IFERROR(__xludf.DUMMYFUNCTION("""COMPUTED_VALUE"""),777437.0)</f>
        <v>777437</v>
      </c>
      <c r="B2713" s="2">
        <f>IFERROR(__xludf.DUMMYFUNCTION("""COMPUTED_VALUE"""),42738.23683282469)</f>
        <v>42738.23683</v>
      </c>
      <c r="C2713" s="1" t="str">
        <f>IFERROR(__xludf.DUMMYFUNCTION("""COMPUTED_VALUE"""),"treatment")</f>
        <v>treatment</v>
      </c>
      <c r="D2713" s="1" t="str">
        <f>IFERROR(__xludf.DUMMYFUNCTION("""COMPUTED_VALUE"""),"new_page")</f>
        <v>new_page</v>
      </c>
      <c r="E2713" s="1">
        <f>IFERROR(__xludf.DUMMYFUNCTION("""COMPUTED_VALUE"""),1.0)</f>
        <v>1</v>
      </c>
    </row>
    <row r="2714">
      <c r="A2714" s="1">
        <f>IFERROR(__xludf.DUMMYFUNCTION("""COMPUTED_VALUE"""),695829.0)</f>
        <v>695829</v>
      </c>
      <c r="B2714" s="2">
        <f>IFERROR(__xludf.DUMMYFUNCTION("""COMPUTED_VALUE"""),42740.82903289017)</f>
        <v>42740.82903</v>
      </c>
      <c r="C2714" s="1" t="str">
        <f>IFERROR(__xludf.DUMMYFUNCTION("""COMPUTED_VALUE"""),"treatment")</f>
        <v>treatment</v>
      </c>
      <c r="D2714" s="1" t="str">
        <f>IFERROR(__xludf.DUMMYFUNCTION("""COMPUTED_VALUE"""),"new_page")</f>
        <v>new_page</v>
      </c>
      <c r="E2714" s="1">
        <f>IFERROR(__xludf.DUMMYFUNCTION("""COMPUTED_VALUE"""),0.0)</f>
        <v>0</v>
      </c>
    </row>
    <row r="2715">
      <c r="A2715" s="1">
        <f>IFERROR(__xludf.DUMMYFUNCTION("""COMPUTED_VALUE"""),806983.0)</f>
        <v>806983</v>
      </c>
      <c r="B2715" s="2">
        <f>IFERROR(__xludf.DUMMYFUNCTION("""COMPUTED_VALUE"""),42739.976634446815)</f>
        <v>42739.97663</v>
      </c>
      <c r="C2715" s="1" t="str">
        <f>IFERROR(__xludf.DUMMYFUNCTION("""COMPUTED_VALUE"""),"control")</f>
        <v>control</v>
      </c>
      <c r="D2715" s="1" t="str">
        <f>IFERROR(__xludf.DUMMYFUNCTION("""COMPUTED_VALUE"""),"old_page")</f>
        <v>old_page</v>
      </c>
      <c r="E2715" s="1">
        <f>IFERROR(__xludf.DUMMYFUNCTION("""COMPUTED_VALUE"""),0.0)</f>
        <v>0</v>
      </c>
    </row>
    <row r="2716">
      <c r="A2716" s="1">
        <f>IFERROR(__xludf.DUMMYFUNCTION("""COMPUTED_VALUE"""),634927.0)</f>
        <v>634927</v>
      </c>
      <c r="B2716" s="2">
        <f>IFERROR(__xludf.DUMMYFUNCTION("""COMPUTED_VALUE"""),42740.732246454514)</f>
        <v>42740.73225</v>
      </c>
      <c r="C2716" s="1" t="str">
        <f>IFERROR(__xludf.DUMMYFUNCTION("""COMPUTED_VALUE"""),"treatment")</f>
        <v>treatment</v>
      </c>
      <c r="D2716" s="1" t="str">
        <f>IFERROR(__xludf.DUMMYFUNCTION("""COMPUTED_VALUE"""),"new_page")</f>
        <v>new_page</v>
      </c>
      <c r="E2716" s="1">
        <f>IFERROR(__xludf.DUMMYFUNCTION("""COMPUTED_VALUE"""),0.0)</f>
        <v>0</v>
      </c>
    </row>
    <row r="2717">
      <c r="A2717" s="1">
        <f>IFERROR(__xludf.DUMMYFUNCTION("""COMPUTED_VALUE"""),766822.0)</f>
        <v>766822</v>
      </c>
      <c r="B2717" s="2">
        <f>IFERROR(__xludf.DUMMYFUNCTION("""COMPUTED_VALUE"""),42753.42831430685)</f>
        <v>42753.42831</v>
      </c>
      <c r="C2717" s="1" t="str">
        <f>IFERROR(__xludf.DUMMYFUNCTION("""COMPUTED_VALUE"""),"control")</f>
        <v>control</v>
      </c>
      <c r="D2717" s="1" t="str">
        <f>IFERROR(__xludf.DUMMYFUNCTION("""COMPUTED_VALUE"""),"old_page")</f>
        <v>old_page</v>
      </c>
      <c r="E2717" s="1">
        <f>IFERROR(__xludf.DUMMYFUNCTION("""COMPUTED_VALUE"""),0.0)</f>
        <v>0</v>
      </c>
    </row>
    <row r="2718">
      <c r="A2718" s="1">
        <f>IFERROR(__xludf.DUMMYFUNCTION("""COMPUTED_VALUE"""),710557.0)</f>
        <v>710557</v>
      </c>
      <c r="B2718" s="2">
        <f>IFERROR(__xludf.DUMMYFUNCTION("""COMPUTED_VALUE"""),42743.72988858922)</f>
        <v>42743.72989</v>
      </c>
      <c r="C2718" s="1" t="str">
        <f>IFERROR(__xludf.DUMMYFUNCTION("""COMPUTED_VALUE"""),"treatment")</f>
        <v>treatment</v>
      </c>
      <c r="D2718" s="1" t="str">
        <f>IFERROR(__xludf.DUMMYFUNCTION("""COMPUTED_VALUE"""),"new_page")</f>
        <v>new_page</v>
      </c>
      <c r="E2718" s="1">
        <f>IFERROR(__xludf.DUMMYFUNCTION("""COMPUTED_VALUE"""),0.0)</f>
        <v>0</v>
      </c>
    </row>
    <row r="2719">
      <c r="A2719" s="1">
        <f>IFERROR(__xludf.DUMMYFUNCTION("""COMPUTED_VALUE"""),654202.0)</f>
        <v>654202</v>
      </c>
      <c r="B2719" s="2">
        <f>IFERROR(__xludf.DUMMYFUNCTION("""COMPUTED_VALUE"""),42751.96340762216)</f>
        <v>42751.96341</v>
      </c>
      <c r="C2719" s="1" t="str">
        <f>IFERROR(__xludf.DUMMYFUNCTION("""COMPUTED_VALUE"""),"control")</f>
        <v>control</v>
      </c>
      <c r="D2719" s="1" t="str">
        <f>IFERROR(__xludf.DUMMYFUNCTION("""COMPUTED_VALUE"""),"old_page")</f>
        <v>old_page</v>
      </c>
      <c r="E2719" s="1">
        <f>IFERROR(__xludf.DUMMYFUNCTION("""COMPUTED_VALUE"""),0.0)</f>
        <v>0</v>
      </c>
    </row>
    <row r="2720">
      <c r="A2720" s="1">
        <f>IFERROR(__xludf.DUMMYFUNCTION("""COMPUTED_VALUE"""),686585.0)</f>
        <v>686585</v>
      </c>
      <c r="B2720" s="2">
        <f>IFERROR(__xludf.DUMMYFUNCTION("""COMPUTED_VALUE"""),42746.43856337708)</f>
        <v>42746.43856</v>
      </c>
      <c r="C2720" s="1" t="str">
        <f>IFERROR(__xludf.DUMMYFUNCTION("""COMPUTED_VALUE"""),"treatment")</f>
        <v>treatment</v>
      </c>
      <c r="D2720" s="1" t="str">
        <f>IFERROR(__xludf.DUMMYFUNCTION("""COMPUTED_VALUE"""),"new_page")</f>
        <v>new_page</v>
      </c>
      <c r="E2720" s="1">
        <f>IFERROR(__xludf.DUMMYFUNCTION("""COMPUTED_VALUE"""),0.0)</f>
        <v>0</v>
      </c>
    </row>
    <row r="2721">
      <c r="A2721" s="1">
        <f>IFERROR(__xludf.DUMMYFUNCTION("""COMPUTED_VALUE"""),783725.0)</f>
        <v>783725</v>
      </c>
      <c r="B2721" s="2">
        <f>IFERROR(__xludf.DUMMYFUNCTION("""COMPUTED_VALUE"""),42756.58301629103)</f>
        <v>42756.58302</v>
      </c>
      <c r="C2721" s="1" t="str">
        <f>IFERROR(__xludf.DUMMYFUNCTION("""COMPUTED_VALUE"""),"control")</f>
        <v>control</v>
      </c>
      <c r="D2721" s="1" t="str">
        <f>IFERROR(__xludf.DUMMYFUNCTION("""COMPUTED_VALUE"""),"old_page")</f>
        <v>old_page</v>
      </c>
      <c r="E2721" s="1">
        <f>IFERROR(__xludf.DUMMYFUNCTION("""COMPUTED_VALUE"""),0.0)</f>
        <v>0</v>
      </c>
    </row>
    <row r="2722">
      <c r="A2722" s="1">
        <f>IFERROR(__xludf.DUMMYFUNCTION("""COMPUTED_VALUE"""),670713.0)</f>
        <v>670713</v>
      </c>
      <c r="B2722" s="2">
        <f>IFERROR(__xludf.DUMMYFUNCTION("""COMPUTED_VALUE"""),42751.56376235574)</f>
        <v>42751.56376</v>
      </c>
      <c r="C2722" s="1" t="str">
        <f>IFERROR(__xludf.DUMMYFUNCTION("""COMPUTED_VALUE"""),"control")</f>
        <v>control</v>
      </c>
      <c r="D2722" s="1" t="str">
        <f>IFERROR(__xludf.DUMMYFUNCTION("""COMPUTED_VALUE"""),"old_page")</f>
        <v>old_page</v>
      </c>
      <c r="E2722" s="1">
        <f>IFERROR(__xludf.DUMMYFUNCTION("""COMPUTED_VALUE"""),0.0)</f>
        <v>0</v>
      </c>
    </row>
    <row r="2723">
      <c r="A2723" s="1">
        <f>IFERROR(__xludf.DUMMYFUNCTION("""COMPUTED_VALUE"""),782187.0)</f>
        <v>782187</v>
      </c>
      <c r="B2723" s="2">
        <f>IFERROR(__xludf.DUMMYFUNCTION("""COMPUTED_VALUE"""),42753.13483979058)</f>
        <v>42753.13484</v>
      </c>
      <c r="C2723" s="1" t="str">
        <f>IFERROR(__xludf.DUMMYFUNCTION("""COMPUTED_VALUE"""),"control")</f>
        <v>control</v>
      </c>
      <c r="D2723" s="1" t="str">
        <f>IFERROR(__xludf.DUMMYFUNCTION("""COMPUTED_VALUE"""),"old_page")</f>
        <v>old_page</v>
      </c>
      <c r="E2723" s="1">
        <f>IFERROR(__xludf.DUMMYFUNCTION("""COMPUTED_VALUE"""),0.0)</f>
        <v>0</v>
      </c>
    </row>
    <row r="2724">
      <c r="A2724" s="1">
        <f>IFERROR(__xludf.DUMMYFUNCTION("""COMPUTED_VALUE"""),647909.0)</f>
        <v>647909</v>
      </c>
      <c r="B2724" s="2">
        <f>IFERROR(__xludf.DUMMYFUNCTION("""COMPUTED_VALUE"""),42754.31311234057)</f>
        <v>42754.31311</v>
      </c>
      <c r="C2724" s="1" t="str">
        <f>IFERROR(__xludf.DUMMYFUNCTION("""COMPUTED_VALUE"""),"control")</f>
        <v>control</v>
      </c>
      <c r="D2724" s="1" t="str">
        <f>IFERROR(__xludf.DUMMYFUNCTION("""COMPUTED_VALUE"""),"old_page")</f>
        <v>old_page</v>
      </c>
      <c r="E2724" s="1">
        <f>IFERROR(__xludf.DUMMYFUNCTION("""COMPUTED_VALUE"""),1.0)</f>
        <v>1</v>
      </c>
    </row>
    <row r="2725">
      <c r="A2725" s="1">
        <f>IFERROR(__xludf.DUMMYFUNCTION("""COMPUTED_VALUE"""),801827.0)</f>
        <v>801827</v>
      </c>
      <c r="B2725" s="2">
        <f>IFERROR(__xludf.DUMMYFUNCTION("""COMPUTED_VALUE"""),42744.17446919441)</f>
        <v>42744.17447</v>
      </c>
      <c r="C2725" s="1" t="str">
        <f>IFERROR(__xludf.DUMMYFUNCTION("""COMPUTED_VALUE"""),"control")</f>
        <v>control</v>
      </c>
      <c r="D2725" s="1" t="str">
        <f>IFERROR(__xludf.DUMMYFUNCTION("""COMPUTED_VALUE"""),"old_page")</f>
        <v>old_page</v>
      </c>
      <c r="E2725" s="1">
        <f>IFERROR(__xludf.DUMMYFUNCTION("""COMPUTED_VALUE"""),0.0)</f>
        <v>0</v>
      </c>
    </row>
    <row r="2726">
      <c r="A2726" s="1">
        <f>IFERROR(__xludf.DUMMYFUNCTION("""COMPUTED_VALUE"""),660051.0)</f>
        <v>660051</v>
      </c>
      <c r="B2726" s="2">
        <f>IFERROR(__xludf.DUMMYFUNCTION("""COMPUTED_VALUE"""),42757.51534454788)</f>
        <v>42757.51534</v>
      </c>
      <c r="C2726" s="1" t="str">
        <f>IFERROR(__xludf.DUMMYFUNCTION("""COMPUTED_VALUE"""),"control")</f>
        <v>control</v>
      </c>
      <c r="D2726" s="1" t="str">
        <f>IFERROR(__xludf.DUMMYFUNCTION("""COMPUTED_VALUE"""),"old_page")</f>
        <v>old_page</v>
      </c>
      <c r="E2726" s="1">
        <f>IFERROR(__xludf.DUMMYFUNCTION("""COMPUTED_VALUE"""),0.0)</f>
        <v>0</v>
      </c>
    </row>
    <row r="2727">
      <c r="A2727" s="1">
        <f>IFERROR(__xludf.DUMMYFUNCTION("""COMPUTED_VALUE"""),805100.0)</f>
        <v>805100</v>
      </c>
      <c r="B2727" s="2">
        <f>IFERROR(__xludf.DUMMYFUNCTION("""COMPUTED_VALUE"""),42740.036064925174)</f>
        <v>42740.03606</v>
      </c>
      <c r="C2727" s="1" t="str">
        <f>IFERROR(__xludf.DUMMYFUNCTION("""COMPUTED_VALUE"""),"treatment")</f>
        <v>treatment</v>
      </c>
      <c r="D2727" s="1" t="str">
        <f>IFERROR(__xludf.DUMMYFUNCTION("""COMPUTED_VALUE"""),"new_page")</f>
        <v>new_page</v>
      </c>
      <c r="E2727" s="1">
        <f>IFERROR(__xludf.DUMMYFUNCTION("""COMPUTED_VALUE"""),0.0)</f>
        <v>0</v>
      </c>
    </row>
    <row r="2728">
      <c r="A2728" s="1">
        <f>IFERROR(__xludf.DUMMYFUNCTION("""COMPUTED_VALUE"""),733266.0)</f>
        <v>733266</v>
      </c>
      <c r="B2728" s="2">
        <f>IFERROR(__xludf.DUMMYFUNCTION("""COMPUTED_VALUE"""),42757.71712586466)</f>
        <v>42757.71713</v>
      </c>
      <c r="C2728" s="1" t="str">
        <f>IFERROR(__xludf.DUMMYFUNCTION("""COMPUTED_VALUE"""),"treatment")</f>
        <v>treatment</v>
      </c>
      <c r="D2728" s="1" t="str">
        <f>IFERROR(__xludf.DUMMYFUNCTION("""COMPUTED_VALUE"""),"new_page")</f>
        <v>new_page</v>
      </c>
      <c r="E2728" s="1">
        <f>IFERROR(__xludf.DUMMYFUNCTION("""COMPUTED_VALUE"""),0.0)</f>
        <v>0</v>
      </c>
    </row>
    <row r="2729">
      <c r="A2729" s="1">
        <f>IFERROR(__xludf.DUMMYFUNCTION("""COMPUTED_VALUE"""),633389.0)</f>
        <v>633389</v>
      </c>
      <c r="B2729" s="2">
        <f>IFERROR(__xludf.DUMMYFUNCTION("""COMPUTED_VALUE"""),42748.503634405766)</f>
        <v>42748.50363</v>
      </c>
      <c r="C2729" s="1" t="str">
        <f>IFERROR(__xludf.DUMMYFUNCTION("""COMPUTED_VALUE"""),"treatment")</f>
        <v>treatment</v>
      </c>
      <c r="D2729" s="1" t="str">
        <f>IFERROR(__xludf.DUMMYFUNCTION("""COMPUTED_VALUE"""),"new_page")</f>
        <v>new_page</v>
      </c>
      <c r="E2729" s="1">
        <f>IFERROR(__xludf.DUMMYFUNCTION("""COMPUTED_VALUE"""),0.0)</f>
        <v>0</v>
      </c>
    </row>
    <row r="2730">
      <c r="A2730" s="1">
        <f>IFERROR(__xludf.DUMMYFUNCTION("""COMPUTED_VALUE"""),873432.0)</f>
        <v>873432</v>
      </c>
      <c r="B2730" s="2">
        <f>IFERROR(__xludf.DUMMYFUNCTION("""COMPUTED_VALUE"""),42748.97999841574)</f>
        <v>42748.98</v>
      </c>
      <c r="C2730" s="1" t="str">
        <f>IFERROR(__xludf.DUMMYFUNCTION("""COMPUTED_VALUE"""),"treatment")</f>
        <v>treatment</v>
      </c>
      <c r="D2730" s="1" t="str">
        <f>IFERROR(__xludf.DUMMYFUNCTION("""COMPUTED_VALUE"""),"new_page")</f>
        <v>new_page</v>
      </c>
      <c r="E2730" s="1">
        <f>IFERROR(__xludf.DUMMYFUNCTION("""COMPUTED_VALUE"""),0.0)</f>
        <v>0</v>
      </c>
    </row>
    <row r="2731">
      <c r="A2731" s="1">
        <f>IFERROR(__xludf.DUMMYFUNCTION("""COMPUTED_VALUE"""),891215.0)</f>
        <v>891215</v>
      </c>
      <c r="B2731" s="2">
        <f>IFERROR(__xludf.DUMMYFUNCTION("""COMPUTED_VALUE"""),42742.97138819992)</f>
        <v>42742.97139</v>
      </c>
      <c r="C2731" s="1" t="str">
        <f>IFERROR(__xludf.DUMMYFUNCTION("""COMPUTED_VALUE"""),"treatment")</f>
        <v>treatment</v>
      </c>
      <c r="D2731" s="1" t="str">
        <f>IFERROR(__xludf.DUMMYFUNCTION("""COMPUTED_VALUE"""),"new_page")</f>
        <v>new_page</v>
      </c>
      <c r="E2731" s="1">
        <f>IFERROR(__xludf.DUMMYFUNCTION("""COMPUTED_VALUE"""),0.0)</f>
        <v>0</v>
      </c>
    </row>
    <row r="2732">
      <c r="A2732" s="1">
        <f>IFERROR(__xludf.DUMMYFUNCTION("""COMPUTED_VALUE"""),884837.0)</f>
        <v>884837</v>
      </c>
      <c r="B2732" s="2">
        <f>IFERROR(__xludf.DUMMYFUNCTION("""COMPUTED_VALUE"""),42756.31964726257)</f>
        <v>42756.31965</v>
      </c>
      <c r="C2732" s="1" t="str">
        <f>IFERROR(__xludf.DUMMYFUNCTION("""COMPUTED_VALUE"""),"treatment")</f>
        <v>treatment</v>
      </c>
      <c r="D2732" s="1" t="str">
        <f>IFERROR(__xludf.DUMMYFUNCTION("""COMPUTED_VALUE"""),"new_page")</f>
        <v>new_page</v>
      </c>
      <c r="E2732" s="1">
        <f>IFERROR(__xludf.DUMMYFUNCTION("""COMPUTED_VALUE"""),0.0)</f>
        <v>0</v>
      </c>
    </row>
    <row r="2733">
      <c r="A2733" s="1">
        <f>IFERROR(__xludf.DUMMYFUNCTION("""COMPUTED_VALUE"""),712230.0)</f>
        <v>712230</v>
      </c>
      <c r="B2733" s="2">
        <f>IFERROR(__xludf.DUMMYFUNCTION("""COMPUTED_VALUE"""),42743.956765472925)</f>
        <v>42743.95677</v>
      </c>
      <c r="C2733" s="1" t="str">
        <f>IFERROR(__xludf.DUMMYFUNCTION("""COMPUTED_VALUE"""),"treatment")</f>
        <v>treatment</v>
      </c>
      <c r="D2733" s="1" t="str">
        <f>IFERROR(__xludf.DUMMYFUNCTION("""COMPUTED_VALUE"""),"new_page")</f>
        <v>new_page</v>
      </c>
      <c r="E2733" s="1">
        <f>IFERROR(__xludf.DUMMYFUNCTION("""COMPUTED_VALUE"""),0.0)</f>
        <v>0</v>
      </c>
    </row>
    <row r="2734">
      <c r="A2734" s="1">
        <f>IFERROR(__xludf.DUMMYFUNCTION("""COMPUTED_VALUE"""),882570.0)</f>
        <v>882570</v>
      </c>
      <c r="B2734" s="2">
        <f>IFERROR(__xludf.DUMMYFUNCTION("""COMPUTED_VALUE"""),42742.27646240944)</f>
        <v>42742.27646</v>
      </c>
      <c r="C2734" s="1" t="str">
        <f>IFERROR(__xludf.DUMMYFUNCTION("""COMPUTED_VALUE"""),"treatment")</f>
        <v>treatment</v>
      </c>
      <c r="D2734" s="1" t="str">
        <f>IFERROR(__xludf.DUMMYFUNCTION("""COMPUTED_VALUE"""),"new_page")</f>
        <v>new_page</v>
      </c>
      <c r="E2734" s="1">
        <f>IFERROR(__xludf.DUMMYFUNCTION("""COMPUTED_VALUE"""),0.0)</f>
        <v>0</v>
      </c>
    </row>
    <row r="2735">
      <c r="A2735" s="1">
        <f>IFERROR(__xludf.DUMMYFUNCTION("""COMPUTED_VALUE"""),895669.0)</f>
        <v>895669</v>
      </c>
      <c r="B2735" s="2">
        <f>IFERROR(__xludf.DUMMYFUNCTION("""COMPUTED_VALUE"""),42743.94914568545)</f>
        <v>42743.94915</v>
      </c>
      <c r="C2735" s="1" t="str">
        <f>IFERROR(__xludf.DUMMYFUNCTION("""COMPUTED_VALUE"""),"treatment")</f>
        <v>treatment</v>
      </c>
      <c r="D2735" s="1" t="str">
        <f>IFERROR(__xludf.DUMMYFUNCTION("""COMPUTED_VALUE"""),"new_page")</f>
        <v>new_page</v>
      </c>
      <c r="E2735" s="1">
        <f>IFERROR(__xludf.DUMMYFUNCTION("""COMPUTED_VALUE"""),1.0)</f>
        <v>1</v>
      </c>
    </row>
    <row r="2736">
      <c r="A2736" s="1">
        <f>IFERROR(__xludf.DUMMYFUNCTION("""COMPUTED_VALUE"""),793134.0)</f>
        <v>793134</v>
      </c>
      <c r="B2736" s="2">
        <f>IFERROR(__xludf.DUMMYFUNCTION("""COMPUTED_VALUE"""),42758.76096467004)</f>
        <v>42758.76096</v>
      </c>
      <c r="C2736" s="1" t="str">
        <f>IFERROR(__xludf.DUMMYFUNCTION("""COMPUTED_VALUE"""),"control")</f>
        <v>control</v>
      </c>
      <c r="D2736" s="1" t="str">
        <f>IFERROR(__xludf.DUMMYFUNCTION("""COMPUTED_VALUE"""),"old_page")</f>
        <v>old_page</v>
      </c>
      <c r="E2736" s="1">
        <f>IFERROR(__xludf.DUMMYFUNCTION("""COMPUTED_VALUE"""),0.0)</f>
        <v>0</v>
      </c>
    </row>
    <row r="2737">
      <c r="A2737" s="1">
        <f>IFERROR(__xludf.DUMMYFUNCTION("""COMPUTED_VALUE"""),796105.0)</f>
        <v>796105</v>
      </c>
      <c r="B2737" s="2">
        <f>IFERROR(__xludf.DUMMYFUNCTION("""COMPUTED_VALUE"""),42756.342056321635)</f>
        <v>42756.34206</v>
      </c>
      <c r="C2737" s="1" t="str">
        <f>IFERROR(__xludf.DUMMYFUNCTION("""COMPUTED_VALUE"""),"control")</f>
        <v>control</v>
      </c>
      <c r="D2737" s="1" t="str">
        <f>IFERROR(__xludf.DUMMYFUNCTION("""COMPUTED_VALUE"""),"old_page")</f>
        <v>old_page</v>
      </c>
      <c r="E2737" s="1">
        <f>IFERROR(__xludf.DUMMYFUNCTION("""COMPUTED_VALUE"""),0.0)</f>
        <v>0</v>
      </c>
    </row>
    <row r="2738">
      <c r="A2738" s="1">
        <f>IFERROR(__xludf.DUMMYFUNCTION("""COMPUTED_VALUE"""),765562.0)</f>
        <v>765562</v>
      </c>
      <c r="B2738" s="2">
        <f>IFERROR(__xludf.DUMMYFUNCTION("""COMPUTED_VALUE"""),42758.991131448194)</f>
        <v>42758.99113</v>
      </c>
      <c r="C2738" s="1" t="str">
        <f>IFERROR(__xludf.DUMMYFUNCTION("""COMPUTED_VALUE"""),"treatment")</f>
        <v>treatment</v>
      </c>
      <c r="D2738" s="1" t="str">
        <f>IFERROR(__xludf.DUMMYFUNCTION("""COMPUTED_VALUE"""),"new_page")</f>
        <v>new_page</v>
      </c>
      <c r="E2738" s="1">
        <f>IFERROR(__xludf.DUMMYFUNCTION("""COMPUTED_VALUE"""),0.0)</f>
        <v>0</v>
      </c>
    </row>
    <row r="2739">
      <c r="A2739" s="1">
        <f>IFERROR(__xludf.DUMMYFUNCTION("""COMPUTED_VALUE"""),635645.0)</f>
        <v>635645</v>
      </c>
      <c r="B2739" s="2">
        <f>IFERROR(__xludf.DUMMYFUNCTION("""COMPUTED_VALUE"""),42746.415911894444)</f>
        <v>42746.41591</v>
      </c>
      <c r="C2739" s="1" t="str">
        <f>IFERROR(__xludf.DUMMYFUNCTION("""COMPUTED_VALUE"""),"treatment")</f>
        <v>treatment</v>
      </c>
      <c r="D2739" s="1" t="str">
        <f>IFERROR(__xludf.DUMMYFUNCTION("""COMPUTED_VALUE"""),"new_page")</f>
        <v>new_page</v>
      </c>
      <c r="E2739" s="1">
        <f>IFERROR(__xludf.DUMMYFUNCTION("""COMPUTED_VALUE"""),0.0)</f>
        <v>0</v>
      </c>
    </row>
    <row r="2740">
      <c r="A2740" s="1">
        <f>IFERROR(__xludf.DUMMYFUNCTION("""COMPUTED_VALUE"""),723605.0)</f>
        <v>723605</v>
      </c>
      <c r="B2740" s="2">
        <f>IFERROR(__xludf.DUMMYFUNCTION("""COMPUTED_VALUE"""),42751.418401244904)</f>
        <v>42751.4184</v>
      </c>
      <c r="C2740" s="1" t="str">
        <f>IFERROR(__xludf.DUMMYFUNCTION("""COMPUTED_VALUE"""),"treatment")</f>
        <v>treatment</v>
      </c>
      <c r="D2740" s="1" t="str">
        <f>IFERROR(__xludf.DUMMYFUNCTION("""COMPUTED_VALUE"""),"new_page")</f>
        <v>new_page</v>
      </c>
      <c r="E2740" s="1">
        <f>IFERROR(__xludf.DUMMYFUNCTION("""COMPUTED_VALUE"""),0.0)</f>
        <v>0</v>
      </c>
    </row>
    <row r="2741">
      <c r="A2741" s="1">
        <f>IFERROR(__xludf.DUMMYFUNCTION("""COMPUTED_VALUE"""),708317.0)</f>
        <v>708317</v>
      </c>
      <c r="B2741" s="2">
        <f>IFERROR(__xludf.DUMMYFUNCTION("""COMPUTED_VALUE"""),42743.962209371675)</f>
        <v>42743.96221</v>
      </c>
      <c r="C2741" s="1" t="str">
        <f>IFERROR(__xludf.DUMMYFUNCTION("""COMPUTED_VALUE"""),"control")</f>
        <v>control</v>
      </c>
      <c r="D2741" s="1" t="str">
        <f>IFERROR(__xludf.DUMMYFUNCTION("""COMPUTED_VALUE"""),"old_page")</f>
        <v>old_page</v>
      </c>
      <c r="E2741" s="1">
        <f>IFERROR(__xludf.DUMMYFUNCTION("""COMPUTED_VALUE"""),0.0)</f>
        <v>0</v>
      </c>
    </row>
    <row r="2742">
      <c r="A2742" s="1">
        <f>IFERROR(__xludf.DUMMYFUNCTION("""COMPUTED_VALUE"""),706657.0)</f>
        <v>706657</v>
      </c>
      <c r="B2742" s="2">
        <f>IFERROR(__xludf.DUMMYFUNCTION("""COMPUTED_VALUE"""),42743.897619418545)</f>
        <v>42743.89762</v>
      </c>
      <c r="C2742" s="1" t="str">
        <f>IFERROR(__xludf.DUMMYFUNCTION("""COMPUTED_VALUE"""),"control")</f>
        <v>control</v>
      </c>
      <c r="D2742" s="1" t="str">
        <f>IFERROR(__xludf.DUMMYFUNCTION("""COMPUTED_VALUE"""),"old_page")</f>
        <v>old_page</v>
      </c>
      <c r="E2742" s="1">
        <f>IFERROR(__xludf.DUMMYFUNCTION("""COMPUTED_VALUE"""),0.0)</f>
        <v>0</v>
      </c>
    </row>
    <row r="2743">
      <c r="A2743" s="1">
        <f>IFERROR(__xludf.DUMMYFUNCTION("""COMPUTED_VALUE"""),929603.0)</f>
        <v>929603</v>
      </c>
      <c r="B2743" s="2">
        <f>IFERROR(__xludf.DUMMYFUNCTION("""COMPUTED_VALUE"""),42748.72024720494)</f>
        <v>42748.72025</v>
      </c>
      <c r="C2743" s="1" t="str">
        <f>IFERROR(__xludf.DUMMYFUNCTION("""COMPUTED_VALUE"""),"control")</f>
        <v>control</v>
      </c>
      <c r="D2743" s="1" t="str">
        <f>IFERROR(__xludf.DUMMYFUNCTION("""COMPUTED_VALUE"""),"old_page")</f>
        <v>old_page</v>
      </c>
      <c r="E2743" s="1">
        <f>IFERROR(__xludf.DUMMYFUNCTION("""COMPUTED_VALUE"""),1.0)</f>
        <v>1</v>
      </c>
    </row>
    <row r="2744">
      <c r="A2744" s="1">
        <f>IFERROR(__xludf.DUMMYFUNCTION("""COMPUTED_VALUE"""),893224.0)</f>
        <v>893224</v>
      </c>
      <c r="B2744" s="2">
        <f>IFERROR(__xludf.DUMMYFUNCTION("""COMPUTED_VALUE"""),42751.90207039235)</f>
        <v>42751.90207</v>
      </c>
      <c r="C2744" s="1" t="str">
        <f>IFERROR(__xludf.DUMMYFUNCTION("""COMPUTED_VALUE"""),"treatment")</f>
        <v>treatment</v>
      </c>
      <c r="D2744" s="1" t="str">
        <f>IFERROR(__xludf.DUMMYFUNCTION("""COMPUTED_VALUE"""),"new_page")</f>
        <v>new_page</v>
      </c>
      <c r="E2744" s="1">
        <f>IFERROR(__xludf.DUMMYFUNCTION("""COMPUTED_VALUE"""),0.0)</f>
        <v>0</v>
      </c>
    </row>
    <row r="2745">
      <c r="A2745" s="1">
        <f>IFERROR(__xludf.DUMMYFUNCTION("""COMPUTED_VALUE"""),894816.0)</f>
        <v>894816</v>
      </c>
      <c r="B2745" s="2">
        <f>IFERROR(__xludf.DUMMYFUNCTION("""COMPUTED_VALUE"""),42742.72848408285)</f>
        <v>42742.72848</v>
      </c>
      <c r="C2745" s="1" t="str">
        <f>IFERROR(__xludf.DUMMYFUNCTION("""COMPUTED_VALUE"""),"control")</f>
        <v>control</v>
      </c>
      <c r="D2745" s="1" t="str">
        <f>IFERROR(__xludf.DUMMYFUNCTION("""COMPUTED_VALUE"""),"old_page")</f>
        <v>old_page</v>
      </c>
      <c r="E2745" s="1">
        <f>IFERROR(__xludf.DUMMYFUNCTION("""COMPUTED_VALUE"""),0.0)</f>
        <v>0</v>
      </c>
    </row>
    <row r="2746">
      <c r="A2746" s="1">
        <f>IFERROR(__xludf.DUMMYFUNCTION("""COMPUTED_VALUE"""),665327.0)</f>
        <v>665327</v>
      </c>
      <c r="B2746" s="2">
        <f>IFERROR(__xludf.DUMMYFUNCTION("""COMPUTED_VALUE"""),42753.77287416631)</f>
        <v>42753.77287</v>
      </c>
      <c r="C2746" s="1" t="str">
        <f>IFERROR(__xludf.DUMMYFUNCTION("""COMPUTED_VALUE"""),"treatment")</f>
        <v>treatment</v>
      </c>
      <c r="D2746" s="1" t="str">
        <f>IFERROR(__xludf.DUMMYFUNCTION("""COMPUTED_VALUE"""),"new_page")</f>
        <v>new_page</v>
      </c>
      <c r="E2746" s="1">
        <f>IFERROR(__xludf.DUMMYFUNCTION("""COMPUTED_VALUE"""),0.0)</f>
        <v>0</v>
      </c>
    </row>
    <row r="2747">
      <c r="A2747" s="1">
        <f>IFERROR(__xludf.DUMMYFUNCTION("""COMPUTED_VALUE"""),872666.0)</f>
        <v>872666</v>
      </c>
      <c r="B2747" s="2">
        <f>IFERROR(__xludf.DUMMYFUNCTION("""COMPUTED_VALUE"""),42740.32259318034)</f>
        <v>42740.32259</v>
      </c>
      <c r="C2747" s="1" t="str">
        <f>IFERROR(__xludf.DUMMYFUNCTION("""COMPUTED_VALUE"""),"control")</f>
        <v>control</v>
      </c>
      <c r="D2747" s="1" t="str">
        <f>IFERROR(__xludf.DUMMYFUNCTION("""COMPUTED_VALUE"""),"new_page")</f>
        <v>new_page</v>
      </c>
      <c r="E2747" s="1">
        <f>IFERROR(__xludf.DUMMYFUNCTION("""COMPUTED_VALUE"""),0.0)</f>
        <v>0</v>
      </c>
    </row>
    <row r="2748">
      <c r="A2748" s="1">
        <f>IFERROR(__xludf.DUMMYFUNCTION("""COMPUTED_VALUE"""),875323.0)</f>
        <v>875323</v>
      </c>
      <c r="B2748" s="2">
        <f>IFERROR(__xludf.DUMMYFUNCTION("""COMPUTED_VALUE"""),42746.1335884317)</f>
        <v>42746.13359</v>
      </c>
      <c r="C2748" s="1" t="str">
        <f>IFERROR(__xludf.DUMMYFUNCTION("""COMPUTED_VALUE"""),"treatment")</f>
        <v>treatment</v>
      </c>
      <c r="D2748" s="1" t="str">
        <f>IFERROR(__xludf.DUMMYFUNCTION("""COMPUTED_VALUE"""),"new_page")</f>
        <v>new_page</v>
      </c>
      <c r="E2748" s="1">
        <f>IFERROR(__xludf.DUMMYFUNCTION("""COMPUTED_VALUE"""),0.0)</f>
        <v>0</v>
      </c>
    </row>
    <row r="2749">
      <c r="A2749" s="1">
        <f>IFERROR(__xludf.DUMMYFUNCTION("""COMPUTED_VALUE"""),660301.0)</f>
        <v>660301</v>
      </c>
      <c r="B2749" s="2">
        <f>IFERROR(__xludf.DUMMYFUNCTION("""COMPUTED_VALUE"""),42747.81406072316)</f>
        <v>42747.81406</v>
      </c>
      <c r="C2749" s="1" t="str">
        <f>IFERROR(__xludf.DUMMYFUNCTION("""COMPUTED_VALUE"""),"treatment")</f>
        <v>treatment</v>
      </c>
      <c r="D2749" s="1" t="str">
        <f>IFERROR(__xludf.DUMMYFUNCTION("""COMPUTED_VALUE"""),"new_page")</f>
        <v>new_page</v>
      </c>
      <c r="E2749" s="1">
        <f>IFERROR(__xludf.DUMMYFUNCTION("""COMPUTED_VALUE"""),0.0)</f>
        <v>0</v>
      </c>
    </row>
    <row r="2750">
      <c r="A2750" s="1">
        <f>IFERROR(__xludf.DUMMYFUNCTION("""COMPUTED_VALUE"""),661969.0)</f>
        <v>661969</v>
      </c>
      <c r="B2750" s="2">
        <f>IFERROR(__xludf.DUMMYFUNCTION("""COMPUTED_VALUE"""),42756.999251028785)</f>
        <v>42756.99925</v>
      </c>
      <c r="C2750" s="1" t="str">
        <f>IFERROR(__xludf.DUMMYFUNCTION("""COMPUTED_VALUE"""),"control")</f>
        <v>control</v>
      </c>
      <c r="D2750" s="1" t="str">
        <f>IFERROR(__xludf.DUMMYFUNCTION("""COMPUTED_VALUE"""),"old_page")</f>
        <v>old_page</v>
      </c>
      <c r="E2750" s="1">
        <f>IFERROR(__xludf.DUMMYFUNCTION("""COMPUTED_VALUE"""),0.0)</f>
        <v>0</v>
      </c>
    </row>
    <row r="2751">
      <c r="A2751" s="1">
        <f>IFERROR(__xludf.DUMMYFUNCTION("""COMPUTED_VALUE"""),756480.0)</f>
        <v>756480</v>
      </c>
      <c r="B2751" s="2">
        <f>IFERROR(__xludf.DUMMYFUNCTION("""COMPUTED_VALUE"""),42740.0051033591)</f>
        <v>42740.0051</v>
      </c>
      <c r="C2751" s="1" t="str">
        <f>IFERROR(__xludf.DUMMYFUNCTION("""COMPUTED_VALUE"""),"control")</f>
        <v>control</v>
      </c>
      <c r="D2751" s="1" t="str">
        <f>IFERROR(__xludf.DUMMYFUNCTION("""COMPUTED_VALUE"""),"old_page")</f>
        <v>old_page</v>
      </c>
      <c r="E2751" s="1">
        <f>IFERROR(__xludf.DUMMYFUNCTION("""COMPUTED_VALUE"""),0.0)</f>
        <v>0</v>
      </c>
    </row>
    <row r="2752">
      <c r="A2752" s="1">
        <f>IFERROR(__xludf.DUMMYFUNCTION("""COMPUTED_VALUE"""),745960.0)</f>
        <v>745960</v>
      </c>
      <c r="B2752" s="2">
        <f>IFERROR(__xludf.DUMMYFUNCTION("""COMPUTED_VALUE"""),42749.592028863146)</f>
        <v>42749.59203</v>
      </c>
      <c r="C2752" s="1" t="str">
        <f>IFERROR(__xludf.DUMMYFUNCTION("""COMPUTED_VALUE"""),"control")</f>
        <v>control</v>
      </c>
      <c r="D2752" s="1" t="str">
        <f>IFERROR(__xludf.DUMMYFUNCTION("""COMPUTED_VALUE"""),"old_page")</f>
        <v>old_page</v>
      </c>
      <c r="E2752" s="1">
        <f>IFERROR(__xludf.DUMMYFUNCTION("""COMPUTED_VALUE"""),0.0)</f>
        <v>0</v>
      </c>
    </row>
    <row r="2753">
      <c r="A2753" s="1">
        <f>IFERROR(__xludf.DUMMYFUNCTION("""COMPUTED_VALUE"""),770155.0)</f>
        <v>770155</v>
      </c>
      <c r="B2753" s="2">
        <f>IFERROR(__xludf.DUMMYFUNCTION("""COMPUTED_VALUE"""),42752.316423210264)</f>
        <v>42752.31642</v>
      </c>
      <c r="C2753" s="1" t="str">
        <f>IFERROR(__xludf.DUMMYFUNCTION("""COMPUTED_VALUE"""),"treatment")</f>
        <v>treatment</v>
      </c>
      <c r="D2753" s="1" t="str">
        <f>IFERROR(__xludf.DUMMYFUNCTION("""COMPUTED_VALUE"""),"new_page")</f>
        <v>new_page</v>
      </c>
      <c r="E2753" s="1">
        <f>IFERROR(__xludf.DUMMYFUNCTION("""COMPUTED_VALUE"""),0.0)</f>
        <v>0</v>
      </c>
    </row>
    <row r="2754">
      <c r="A2754" s="1">
        <f>IFERROR(__xludf.DUMMYFUNCTION("""COMPUTED_VALUE"""),913616.0)</f>
        <v>913616</v>
      </c>
      <c r="B2754" s="2">
        <f>IFERROR(__xludf.DUMMYFUNCTION("""COMPUTED_VALUE"""),42749.60444343642)</f>
        <v>42749.60444</v>
      </c>
      <c r="C2754" s="1" t="str">
        <f>IFERROR(__xludf.DUMMYFUNCTION("""COMPUTED_VALUE"""),"treatment")</f>
        <v>treatment</v>
      </c>
      <c r="D2754" s="1" t="str">
        <f>IFERROR(__xludf.DUMMYFUNCTION("""COMPUTED_VALUE"""),"new_page")</f>
        <v>new_page</v>
      </c>
      <c r="E2754" s="1">
        <f>IFERROR(__xludf.DUMMYFUNCTION("""COMPUTED_VALUE"""),0.0)</f>
        <v>0</v>
      </c>
    </row>
    <row r="2755">
      <c r="A2755" s="1">
        <f>IFERROR(__xludf.DUMMYFUNCTION("""COMPUTED_VALUE"""),872434.0)</f>
        <v>872434</v>
      </c>
      <c r="B2755" s="2">
        <f>IFERROR(__xludf.DUMMYFUNCTION("""COMPUTED_VALUE"""),42747.868427490495)</f>
        <v>42747.86843</v>
      </c>
      <c r="C2755" s="1" t="str">
        <f>IFERROR(__xludf.DUMMYFUNCTION("""COMPUTED_VALUE"""),"treatment")</f>
        <v>treatment</v>
      </c>
      <c r="D2755" s="1" t="str">
        <f>IFERROR(__xludf.DUMMYFUNCTION("""COMPUTED_VALUE"""),"new_page")</f>
        <v>new_page</v>
      </c>
      <c r="E2755" s="1">
        <f>IFERROR(__xludf.DUMMYFUNCTION("""COMPUTED_VALUE"""),0.0)</f>
        <v>0</v>
      </c>
    </row>
    <row r="2756">
      <c r="A2756" s="1">
        <f>IFERROR(__xludf.DUMMYFUNCTION("""COMPUTED_VALUE"""),804516.0)</f>
        <v>804516</v>
      </c>
      <c r="B2756" s="2">
        <f>IFERROR(__xludf.DUMMYFUNCTION("""COMPUTED_VALUE"""),42755.78623788219)</f>
        <v>42755.78624</v>
      </c>
      <c r="C2756" s="1" t="str">
        <f>IFERROR(__xludf.DUMMYFUNCTION("""COMPUTED_VALUE"""),"treatment")</f>
        <v>treatment</v>
      </c>
      <c r="D2756" s="1" t="str">
        <f>IFERROR(__xludf.DUMMYFUNCTION("""COMPUTED_VALUE"""),"new_page")</f>
        <v>new_page</v>
      </c>
      <c r="E2756" s="1">
        <f>IFERROR(__xludf.DUMMYFUNCTION("""COMPUTED_VALUE"""),0.0)</f>
        <v>0</v>
      </c>
    </row>
    <row r="2757">
      <c r="A2757" s="1">
        <f>IFERROR(__xludf.DUMMYFUNCTION("""COMPUTED_VALUE"""),758300.0)</f>
        <v>758300</v>
      </c>
      <c r="B2757" s="2">
        <f>IFERROR(__xludf.DUMMYFUNCTION("""COMPUTED_VALUE"""),42744.544621707486)</f>
        <v>42744.54462</v>
      </c>
      <c r="C2757" s="1" t="str">
        <f>IFERROR(__xludf.DUMMYFUNCTION("""COMPUTED_VALUE"""),"treatment")</f>
        <v>treatment</v>
      </c>
      <c r="D2757" s="1" t="str">
        <f>IFERROR(__xludf.DUMMYFUNCTION("""COMPUTED_VALUE"""),"new_page")</f>
        <v>new_page</v>
      </c>
      <c r="E2757" s="1">
        <f>IFERROR(__xludf.DUMMYFUNCTION("""COMPUTED_VALUE"""),0.0)</f>
        <v>0</v>
      </c>
    </row>
    <row r="2758">
      <c r="A2758" s="1">
        <f>IFERROR(__xludf.DUMMYFUNCTION("""COMPUTED_VALUE"""),708747.0)</f>
        <v>708747</v>
      </c>
      <c r="B2758" s="2">
        <f>IFERROR(__xludf.DUMMYFUNCTION("""COMPUTED_VALUE"""),42743.82995914875)</f>
        <v>42743.82996</v>
      </c>
      <c r="C2758" s="1" t="str">
        <f>IFERROR(__xludf.DUMMYFUNCTION("""COMPUTED_VALUE"""),"control")</f>
        <v>control</v>
      </c>
      <c r="D2758" s="1" t="str">
        <f>IFERROR(__xludf.DUMMYFUNCTION("""COMPUTED_VALUE"""),"old_page")</f>
        <v>old_page</v>
      </c>
      <c r="E2758" s="1">
        <f>IFERROR(__xludf.DUMMYFUNCTION("""COMPUTED_VALUE"""),0.0)</f>
        <v>0</v>
      </c>
    </row>
    <row r="2759">
      <c r="A2759" s="1">
        <f>IFERROR(__xludf.DUMMYFUNCTION("""COMPUTED_VALUE"""),639533.0)</f>
        <v>639533</v>
      </c>
      <c r="B2759" s="2">
        <f>IFERROR(__xludf.DUMMYFUNCTION("""COMPUTED_VALUE"""),42750.38932384005)</f>
        <v>42750.38932</v>
      </c>
      <c r="C2759" s="1" t="str">
        <f>IFERROR(__xludf.DUMMYFUNCTION("""COMPUTED_VALUE"""),"control")</f>
        <v>control</v>
      </c>
      <c r="D2759" s="1" t="str">
        <f>IFERROR(__xludf.DUMMYFUNCTION("""COMPUTED_VALUE"""),"old_page")</f>
        <v>old_page</v>
      </c>
      <c r="E2759" s="1">
        <f>IFERROR(__xludf.DUMMYFUNCTION("""COMPUTED_VALUE"""),0.0)</f>
        <v>0</v>
      </c>
    </row>
    <row r="2760">
      <c r="A2760" s="1">
        <f>IFERROR(__xludf.DUMMYFUNCTION("""COMPUTED_VALUE"""),875893.0)</f>
        <v>875893</v>
      </c>
      <c r="B2760" s="2">
        <f>IFERROR(__xludf.DUMMYFUNCTION("""COMPUTED_VALUE"""),42740.15406634635)</f>
        <v>42740.15407</v>
      </c>
      <c r="C2760" s="1" t="str">
        <f>IFERROR(__xludf.DUMMYFUNCTION("""COMPUTED_VALUE"""),"treatment")</f>
        <v>treatment</v>
      </c>
      <c r="D2760" s="1" t="str">
        <f>IFERROR(__xludf.DUMMYFUNCTION("""COMPUTED_VALUE"""),"new_page")</f>
        <v>new_page</v>
      </c>
      <c r="E2760" s="1">
        <f>IFERROR(__xludf.DUMMYFUNCTION("""COMPUTED_VALUE"""),0.0)</f>
        <v>0</v>
      </c>
    </row>
    <row r="2761">
      <c r="A2761" s="1">
        <f>IFERROR(__xludf.DUMMYFUNCTION("""COMPUTED_VALUE"""),639817.0)</f>
        <v>639817</v>
      </c>
      <c r="B2761" s="2">
        <f>IFERROR(__xludf.DUMMYFUNCTION("""COMPUTED_VALUE"""),42741.98555271957)</f>
        <v>42741.98555</v>
      </c>
      <c r="C2761" s="1" t="str">
        <f>IFERROR(__xludf.DUMMYFUNCTION("""COMPUTED_VALUE"""),"control")</f>
        <v>control</v>
      </c>
      <c r="D2761" s="1" t="str">
        <f>IFERROR(__xludf.DUMMYFUNCTION("""COMPUTED_VALUE"""),"new_page")</f>
        <v>new_page</v>
      </c>
      <c r="E2761" s="1">
        <f>IFERROR(__xludf.DUMMYFUNCTION("""COMPUTED_VALUE"""),0.0)</f>
        <v>0</v>
      </c>
    </row>
    <row r="2762">
      <c r="A2762" s="1">
        <f>IFERROR(__xludf.DUMMYFUNCTION("""COMPUTED_VALUE"""),729548.0)</f>
        <v>729548</v>
      </c>
      <c r="B2762" s="2">
        <f>IFERROR(__xludf.DUMMYFUNCTION("""COMPUTED_VALUE"""),42754.97584381526)</f>
        <v>42754.97584</v>
      </c>
      <c r="C2762" s="1" t="str">
        <f>IFERROR(__xludf.DUMMYFUNCTION("""COMPUTED_VALUE"""),"control")</f>
        <v>control</v>
      </c>
      <c r="D2762" s="1" t="str">
        <f>IFERROR(__xludf.DUMMYFUNCTION("""COMPUTED_VALUE"""),"old_page")</f>
        <v>old_page</v>
      </c>
      <c r="E2762" s="1">
        <f>IFERROR(__xludf.DUMMYFUNCTION("""COMPUTED_VALUE"""),0.0)</f>
        <v>0</v>
      </c>
    </row>
    <row r="2763">
      <c r="A2763" s="1">
        <f>IFERROR(__xludf.DUMMYFUNCTION("""COMPUTED_VALUE"""),702413.0)</f>
        <v>702413</v>
      </c>
      <c r="B2763" s="2">
        <f>IFERROR(__xludf.DUMMYFUNCTION("""COMPUTED_VALUE"""),42746.45887682867)</f>
        <v>42746.45888</v>
      </c>
      <c r="C2763" s="1" t="str">
        <f>IFERROR(__xludf.DUMMYFUNCTION("""COMPUTED_VALUE"""),"control")</f>
        <v>control</v>
      </c>
      <c r="D2763" s="1" t="str">
        <f>IFERROR(__xludf.DUMMYFUNCTION("""COMPUTED_VALUE"""),"old_page")</f>
        <v>old_page</v>
      </c>
      <c r="E2763" s="1">
        <f>IFERROR(__xludf.DUMMYFUNCTION("""COMPUTED_VALUE"""),0.0)</f>
        <v>0</v>
      </c>
    </row>
    <row r="2764">
      <c r="A2764" s="1">
        <f>IFERROR(__xludf.DUMMYFUNCTION("""COMPUTED_VALUE"""),914399.0)</f>
        <v>914399</v>
      </c>
      <c r="B2764" s="2">
        <f>IFERROR(__xludf.DUMMYFUNCTION("""COMPUTED_VALUE"""),42745.32256451416)</f>
        <v>42745.32256</v>
      </c>
      <c r="C2764" s="1" t="str">
        <f>IFERROR(__xludf.DUMMYFUNCTION("""COMPUTED_VALUE"""),"control")</f>
        <v>control</v>
      </c>
      <c r="D2764" s="1" t="str">
        <f>IFERROR(__xludf.DUMMYFUNCTION("""COMPUTED_VALUE"""),"old_page")</f>
        <v>old_page</v>
      </c>
      <c r="E2764" s="1">
        <f>IFERROR(__xludf.DUMMYFUNCTION("""COMPUTED_VALUE"""),0.0)</f>
        <v>0</v>
      </c>
    </row>
    <row r="2765">
      <c r="A2765" s="1">
        <f>IFERROR(__xludf.DUMMYFUNCTION("""COMPUTED_VALUE"""),848412.0)</f>
        <v>848412</v>
      </c>
      <c r="B2765" s="2">
        <f>IFERROR(__xludf.DUMMYFUNCTION("""COMPUTED_VALUE"""),42737.65563311946)</f>
        <v>42737.65563</v>
      </c>
      <c r="C2765" s="1" t="str">
        <f>IFERROR(__xludf.DUMMYFUNCTION("""COMPUTED_VALUE"""),"treatment")</f>
        <v>treatment</v>
      </c>
      <c r="D2765" s="1" t="str">
        <f>IFERROR(__xludf.DUMMYFUNCTION("""COMPUTED_VALUE"""),"new_page")</f>
        <v>new_page</v>
      </c>
      <c r="E2765" s="1">
        <f>IFERROR(__xludf.DUMMYFUNCTION("""COMPUTED_VALUE"""),1.0)</f>
        <v>1</v>
      </c>
    </row>
    <row r="2766">
      <c r="A2766" s="1">
        <f>IFERROR(__xludf.DUMMYFUNCTION("""COMPUTED_VALUE"""),700957.0)</f>
        <v>700957</v>
      </c>
      <c r="B2766" s="2">
        <f>IFERROR(__xludf.DUMMYFUNCTION("""COMPUTED_VALUE"""),42756.01575165368)</f>
        <v>42756.01575</v>
      </c>
      <c r="C2766" s="1" t="str">
        <f>IFERROR(__xludf.DUMMYFUNCTION("""COMPUTED_VALUE"""),"control")</f>
        <v>control</v>
      </c>
      <c r="D2766" s="1" t="str">
        <f>IFERROR(__xludf.DUMMYFUNCTION("""COMPUTED_VALUE"""),"old_page")</f>
        <v>old_page</v>
      </c>
      <c r="E2766" s="1">
        <f>IFERROR(__xludf.DUMMYFUNCTION("""COMPUTED_VALUE"""),0.0)</f>
        <v>0</v>
      </c>
    </row>
    <row r="2767">
      <c r="A2767" s="1">
        <f>IFERROR(__xludf.DUMMYFUNCTION("""COMPUTED_VALUE"""),762545.0)</f>
        <v>762545</v>
      </c>
      <c r="B2767" s="2">
        <f>IFERROR(__xludf.DUMMYFUNCTION("""COMPUTED_VALUE"""),42741.4251505933)</f>
        <v>42741.42515</v>
      </c>
      <c r="C2767" s="1" t="str">
        <f>IFERROR(__xludf.DUMMYFUNCTION("""COMPUTED_VALUE"""),"treatment")</f>
        <v>treatment</v>
      </c>
      <c r="D2767" s="1" t="str">
        <f>IFERROR(__xludf.DUMMYFUNCTION("""COMPUTED_VALUE"""),"new_page")</f>
        <v>new_page</v>
      </c>
      <c r="E2767" s="1">
        <f>IFERROR(__xludf.DUMMYFUNCTION("""COMPUTED_VALUE"""),0.0)</f>
        <v>0</v>
      </c>
    </row>
    <row r="2768">
      <c r="A2768" s="1">
        <f>IFERROR(__xludf.DUMMYFUNCTION("""COMPUTED_VALUE"""),688104.0)</f>
        <v>688104</v>
      </c>
      <c r="B2768" s="2">
        <f>IFERROR(__xludf.DUMMYFUNCTION("""COMPUTED_VALUE"""),42758.40981313722)</f>
        <v>42758.40981</v>
      </c>
      <c r="C2768" s="1" t="str">
        <f>IFERROR(__xludf.DUMMYFUNCTION("""COMPUTED_VALUE"""),"treatment")</f>
        <v>treatment</v>
      </c>
      <c r="D2768" s="1" t="str">
        <f>IFERROR(__xludf.DUMMYFUNCTION("""COMPUTED_VALUE"""),"new_page")</f>
        <v>new_page</v>
      </c>
      <c r="E2768" s="1">
        <f>IFERROR(__xludf.DUMMYFUNCTION("""COMPUTED_VALUE"""),0.0)</f>
        <v>0</v>
      </c>
    </row>
    <row r="2769">
      <c r="A2769" s="1">
        <f>IFERROR(__xludf.DUMMYFUNCTION("""COMPUTED_VALUE"""),821381.0)</f>
        <v>821381</v>
      </c>
      <c r="B2769" s="2">
        <f>IFERROR(__xludf.DUMMYFUNCTION("""COMPUTED_VALUE"""),42748.07077644115)</f>
        <v>42748.07078</v>
      </c>
      <c r="C2769" s="1" t="str">
        <f>IFERROR(__xludf.DUMMYFUNCTION("""COMPUTED_VALUE"""),"control")</f>
        <v>control</v>
      </c>
      <c r="D2769" s="1" t="str">
        <f>IFERROR(__xludf.DUMMYFUNCTION("""COMPUTED_VALUE"""),"old_page")</f>
        <v>old_page</v>
      </c>
      <c r="E2769" s="1">
        <f>IFERROR(__xludf.DUMMYFUNCTION("""COMPUTED_VALUE"""),0.0)</f>
        <v>0</v>
      </c>
    </row>
    <row r="2770">
      <c r="A2770" s="1">
        <f>IFERROR(__xludf.DUMMYFUNCTION("""COMPUTED_VALUE"""),772720.0)</f>
        <v>772720</v>
      </c>
      <c r="B2770" s="2">
        <f>IFERROR(__xludf.DUMMYFUNCTION("""COMPUTED_VALUE"""),42751.029252715125)</f>
        <v>42751.02925</v>
      </c>
      <c r="C2770" s="1" t="str">
        <f>IFERROR(__xludf.DUMMYFUNCTION("""COMPUTED_VALUE"""),"control")</f>
        <v>control</v>
      </c>
      <c r="D2770" s="1" t="str">
        <f>IFERROR(__xludf.DUMMYFUNCTION("""COMPUTED_VALUE"""),"old_page")</f>
        <v>old_page</v>
      </c>
      <c r="E2770" s="1">
        <f>IFERROR(__xludf.DUMMYFUNCTION("""COMPUTED_VALUE"""),0.0)</f>
        <v>0</v>
      </c>
    </row>
    <row r="2771">
      <c r="A2771" s="1">
        <f>IFERROR(__xludf.DUMMYFUNCTION("""COMPUTED_VALUE"""),796827.0)</f>
        <v>796827</v>
      </c>
      <c r="B2771" s="2">
        <f>IFERROR(__xludf.DUMMYFUNCTION("""COMPUTED_VALUE"""),42750.281767786735)</f>
        <v>42750.28177</v>
      </c>
      <c r="C2771" s="1" t="str">
        <f>IFERROR(__xludf.DUMMYFUNCTION("""COMPUTED_VALUE"""),"control")</f>
        <v>control</v>
      </c>
      <c r="D2771" s="1" t="str">
        <f>IFERROR(__xludf.DUMMYFUNCTION("""COMPUTED_VALUE"""),"old_page")</f>
        <v>old_page</v>
      </c>
      <c r="E2771" s="1">
        <f>IFERROR(__xludf.DUMMYFUNCTION("""COMPUTED_VALUE"""),0.0)</f>
        <v>0</v>
      </c>
    </row>
    <row r="2772">
      <c r="A2772" s="1">
        <f>IFERROR(__xludf.DUMMYFUNCTION("""COMPUTED_VALUE"""),907618.0)</f>
        <v>907618</v>
      </c>
      <c r="B2772" s="2">
        <f>IFERROR(__xludf.DUMMYFUNCTION("""COMPUTED_VALUE"""),42758.081070196924)</f>
        <v>42758.08107</v>
      </c>
      <c r="C2772" s="1" t="str">
        <f>IFERROR(__xludf.DUMMYFUNCTION("""COMPUTED_VALUE"""),"control")</f>
        <v>control</v>
      </c>
      <c r="D2772" s="1" t="str">
        <f>IFERROR(__xludf.DUMMYFUNCTION("""COMPUTED_VALUE"""),"old_page")</f>
        <v>old_page</v>
      </c>
      <c r="E2772" s="1">
        <f>IFERROR(__xludf.DUMMYFUNCTION("""COMPUTED_VALUE"""),0.0)</f>
        <v>0</v>
      </c>
    </row>
    <row r="2773">
      <c r="A2773" s="1">
        <f>IFERROR(__xludf.DUMMYFUNCTION("""COMPUTED_VALUE"""),776443.0)</f>
        <v>776443</v>
      </c>
      <c r="B2773" s="2">
        <f>IFERROR(__xludf.DUMMYFUNCTION("""COMPUTED_VALUE"""),42754.74955417385)</f>
        <v>42754.74955</v>
      </c>
      <c r="C2773" s="1" t="str">
        <f>IFERROR(__xludf.DUMMYFUNCTION("""COMPUTED_VALUE"""),"control")</f>
        <v>control</v>
      </c>
      <c r="D2773" s="1" t="str">
        <f>IFERROR(__xludf.DUMMYFUNCTION("""COMPUTED_VALUE"""),"old_page")</f>
        <v>old_page</v>
      </c>
      <c r="E2773" s="1">
        <f>IFERROR(__xludf.DUMMYFUNCTION("""COMPUTED_VALUE"""),1.0)</f>
        <v>1</v>
      </c>
    </row>
    <row r="2774">
      <c r="A2774" s="1">
        <f>IFERROR(__xludf.DUMMYFUNCTION("""COMPUTED_VALUE"""),698600.0)</f>
        <v>698600</v>
      </c>
      <c r="B2774" s="2">
        <f>IFERROR(__xludf.DUMMYFUNCTION("""COMPUTED_VALUE"""),42756.64986140151)</f>
        <v>42756.64986</v>
      </c>
      <c r="C2774" s="1" t="str">
        <f>IFERROR(__xludf.DUMMYFUNCTION("""COMPUTED_VALUE"""),"treatment")</f>
        <v>treatment</v>
      </c>
      <c r="D2774" s="1" t="str">
        <f>IFERROR(__xludf.DUMMYFUNCTION("""COMPUTED_VALUE"""),"new_page")</f>
        <v>new_page</v>
      </c>
      <c r="E2774" s="1">
        <f>IFERROR(__xludf.DUMMYFUNCTION("""COMPUTED_VALUE"""),0.0)</f>
        <v>0</v>
      </c>
    </row>
    <row r="2775">
      <c r="A2775" s="1">
        <f>IFERROR(__xludf.DUMMYFUNCTION("""COMPUTED_VALUE"""),775293.0)</f>
        <v>775293</v>
      </c>
      <c r="B2775" s="2">
        <f>IFERROR(__xludf.DUMMYFUNCTION("""COMPUTED_VALUE"""),42743.41448002502)</f>
        <v>42743.41448</v>
      </c>
      <c r="C2775" s="1" t="str">
        <f>IFERROR(__xludf.DUMMYFUNCTION("""COMPUTED_VALUE"""),"control")</f>
        <v>control</v>
      </c>
      <c r="D2775" s="1" t="str">
        <f>IFERROR(__xludf.DUMMYFUNCTION("""COMPUTED_VALUE"""),"old_page")</f>
        <v>old_page</v>
      </c>
      <c r="E2775" s="1">
        <f>IFERROR(__xludf.DUMMYFUNCTION("""COMPUTED_VALUE"""),0.0)</f>
        <v>0</v>
      </c>
    </row>
    <row r="2776">
      <c r="A2776" s="1">
        <f>IFERROR(__xludf.DUMMYFUNCTION("""COMPUTED_VALUE"""),812776.0)</f>
        <v>812776</v>
      </c>
      <c r="B2776" s="2">
        <f>IFERROR(__xludf.DUMMYFUNCTION("""COMPUTED_VALUE"""),42752.899109158876)</f>
        <v>42752.89911</v>
      </c>
      <c r="C2776" s="1" t="str">
        <f>IFERROR(__xludf.DUMMYFUNCTION("""COMPUTED_VALUE"""),"treatment")</f>
        <v>treatment</v>
      </c>
      <c r="D2776" s="1" t="str">
        <f>IFERROR(__xludf.DUMMYFUNCTION("""COMPUTED_VALUE"""),"new_page")</f>
        <v>new_page</v>
      </c>
      <c r="E2776" s="1">
        <f>IFERROR(__xludf.DUMMYFUNCTION("""COMPUTED_VALUE"""),0.0)</f>
        <v>0</v>
      </c>
    </row>
    <row r="2777">
      <c r="A2777" s="1">
        <f>IFERROR(__xludf.DUMMYFUNCTION("""COMPUTED_VALUE"""),844228.0)</f>
        <v>844228</v>
      </c>
      <c r="B2777" s="2">
        <f>IFERROR(__xludf.DUMMYFUNCTION("""COMPUTED_VALUE"""),42758.25413117563)</f>
        <v>42758.25413</v>
      </c>
      <c r="C2777" s="1" t="str">
        <f>IFERROR(__xludf.DUMMYFUNCTION("""COMPUTED_VALUE"""),"control")</f>
        <v>control</v>
      </c>
      <c r="D2777" s="1" t="str">
        <f>IFERROR(__xludf.DUMMYFUNCTION("""COMPUTED_VALUE"""),"old_page")</f>
        <v>old_page</v>
      </c>
      <c r="E2777" s="1">
        <f>IFERROR(__xludf.DUMMYFUNCTION("""COMPUTED_VALUE"""),0.0)</f>
        <v>0</v>
      </c>
    </row>
    <row r="2778">
      <c r="A2778" s="1">
        <f>IFERROR(__xludf.DUMMYFUNCTION("""COMPUTED_VALUE"""),689743.0)</f>
        <v>689743</v>
      </c>
      <c r="B2778" s="2">
        <f>IFERROR(__xludf.DUMMYFUNCTION("""COMPUTED_VALUE"""),42750.43243685)</f>
        <v>42750.43244</v>
      </c>
      <c r="C2778" s="1" t="str">
        <f>IFERROR(__xludf.DUMMYFUNCTION("""COMPUTED_VALUE"""),"treatment")</f>
        <v>treatment</v>
      </c>
      <c r="D2778" s="1" t="str">
        <f>IFERROR(__xludf.DUMMYFUNCTION("""COMPUTED_VALUE"""),"new_page")</f>
        <v>new_page</v>
      </c>
      <c r="E2778" s="1">
        <f>IFERROR(__xludf.DUMMYFUNCTION("""COMPUTED_VALUE"""),0.0)</f>
        <v>0</v>
      </c>
    </row>
    <row r="2779">
      <c r="A2779" s="1">
        <f>IFERROR(__xludf.DUMMYFUNCTION("""COMPUTED_VALUE"""),665416.0)</f>
        <v>665416</v>
      </c>
      <c r="B2779" s="2">
        <f>IFERROR(__xludf.DUMMYFUNCTION("""COMPUTED_VALUE"""),42756.24233591188)</f>
        <v>42756.24234</v>
      </c>
      <c r="C2779" s="1" t="str">
        <f>IFERROR(__xludf.DUMMYFUNCTION("""COMPUTED_VALUE"""),"control")</f>
        <v>control</v>
      </c>
      <c r="D2779" s="1" t="str">
        <f>IFERROR(__xludf.DUMMYFUNCTION("""COMPUTED_VALUE"""),"old_page")</f>
        <v>old_page</v>
      </c>
      <c r="E2779" s="1">
        <f>IFERROR(__xludf.DUMMYFUNCTION("""COMPUTED_VALUE"""),0.0)</f>
        <v>0</v>
      </c>
    </row>
    <row r="2780">
      <c r="A2780" s="1">
        <f>IFERROR(__xludf.DUMMYFUNCTION("""COMPUTED_VALUE"""),705635.0)</f>
        <v>705635</v>
      </c>
      <c r="B2780" s="2">
        <f>IFERROR(__xludf.DUMMYFUNCTION("""COMPUTED_VALUE"""),42750.671546149744)</f>
        <v>42750.67155</v>
      </c>
      <c r="C2780" s="1" t="str">
        <f>IFERROR(__xludf.DUMMYFUNCTION("""COMPUTED_VALUE"""),"control")</f>
        <v>control</v>
      </c>
      <c r="D2780" s="1" t="str">
        <f>IFERROR(__xludf.DUMMYFUNCTION("""COMPUTED_VALUE"""),"old_page")</f>
        <v>old_page</v>
      </c>
      <c r="E2780" s="1">
        <f>IFERROR(__xludf.DUMMYFUNCTION("""COMPUTED_VALUE"""),1.0)</f>
        <v>1</v>
      </c>
    </row>
    <row r="2781">
      <c r="A2781" s="1">
        <f>IFERROR(__xludf.DUMMYFUNCTION("""COMPUTED_VALUE"""),692455.0)</f>
        <v>692455</v>
      </c>
      <c r="B2781" s="2">
        <f>IFERROR(__xludf.DUMMYFUNCTION("""COMPUTED_VALUE"""),42737.574451043)</f>
        <v>42737.57445</v>
      </c>
      <c r="C2781" s="1" t="str">
        <f>IFERROR(__xludf.DUMMYFUNCTION("""COMPUTED_VALUE"""),"control")</f>
        <v>control</v>
      </c>
      <c r="D2781" s="1" t="str">
        <f>IFERROR(__xludf.DUMMYFUNCTION("""COMPUTED_VALUE"""),"old_page")</f>
        <v>old_page</v>
      </c>
      <c r="E2781" s="1">
        <f>IFERROR(__xludf.DUMMYFUNCTION("""COMPUTED_VALUE"""),0.0)</f>
        <v>0</v>
      </c>
    </row>
    <row r="2782">
      <c r="A2782" s="1">
        <f>IFERROR(__xludf.DUMMYFUNCTION("""COMPUTED_VALUE"""),712347.0)</f>
        <v>712347</v>
      </c>
      <c r="B2782" s="2">
        <f>IFERROR(__xludf.DUMMYFUNCTION("""COMPUTED_VALUE"""),42740.36960876295)</f>
        <v>42740.36961</v>
      </c>
      <c r="C2782" s="1" t="str">
        <f>IFERROR(__xludf.DUMMYFUNCTION("""COMPUTED_VALUE"""),"treatment")</f>
        <v>treatment</v>
      </c>
      <c r="D2782" s="1" t="str">
        <f>IFERROR(__xludf.DUMMYFUNCTION("""COMPUTED_VALUE"""),"new_page")</f>
        <v>new_page</v>
      </c>
      <c r="E2782" s="1">
        <f>IFERROR(__xludf.DUMMYFUNCTION("""COMPUTED_VALUE"""),0.0)</f>
        <v>0</v>
      </c>
    </row>
    <row r="2783">
      <c r="A2783" s="1">
        <f>IFERROR(__xludf.DUMMYFUNCTION("""COMPUTED_VALUE"""),884670.0)</f>
        <v>884670</v>
      </c>
      <c r="B2783" s="2">
        <f>IFERROR(__xludf.DUMMYFUNCTION("""COMPUTED_VALUE"""),42740.57336626293)</f>
        <v>42740.57337</v>
      </c>
      <c r="C2783" s="1" t="str">
        <f>IFERROR(__xludf.DUMMYFUNCTION("""COMPUTED_VALUE"""),"treatment")</f>
        <v>treatment</v>
      </c>
      <c r="D2783" s="1" t="str">
        <f>IFERROR(__xludf.DUMMYFUNCTION("""COMPUTED_VALUE"""),"new_page")</f>
        <v>new_page</v>
      </c>
      <c r="E2783" s="1">
        <f>IFERROR(__xludf.DUMMYFUNCTION("""COMPUTED_VALUE"""),0.0)</f>
        <v>0</v>
      </c>
    </row>
    <row r="2784">
      <c r="A2784" s="1">
        <f>IFERROR(__xludf.DUMMYFUNCTION("""COMPUTED_VALUE"""),821608.0)</f>
        <v>821608</v>
      </c>
      <c r="B2784" s="2">
        <f>IFERROR(__xludf.DUMMYFUNCTION("""COMPUTED_VALUE"""),42739.296478617616)</f>
        <v>42739.29648</v>
      </c>
      <c r="C2784" s="1" t="str">
        <f>IFERROR(__xludf.DUMMYFUNCTION("""COMPUTED_VALUE"""),"control")</f>
        <v>control</v>
      </c>
      <c r="D2784" s="1" t="str">
        <f>IFERROR(__xludf.DUMMYFUNCTION("""COMPUTED_VALUE"""),"old_page")</f>
        <v>old_page</v>
      </c>
      <c r="E2784" s="1">
        <f>IFERROR(__xludf.DUMMYFUNCTION("""COMPUTED_VALUE"""),0.0)</f>
        <v>0</v>
      </c>
    </row>
    <row r="2785">
      <c r="A2785" s="1">
        <f>IFERROR(__xludf.DUMMYFUNCTION("""COMPUTED_VALUE"""),756413.0)</f>
        <v>756413</v>
      </c>
      <c r="B2785" s="2">
        <f>IFERROR(__xludf.DUMMYFUNCTION("""COMPUTED_VALUE"""),42747.27575678288)</f>
        <v>42747.27576</v>
      </c>
      <c r="C2785" s="1" t="str">
        <f>IFERROR(__xludf.DUMMYFUNCTION("""COMPUTED_VALUE"""),"treatment")</f>
        <v>treatment</v>
      </c>
      <c r="D2785" s="1" t="str">
        <f>IFERROR(__xludf.DUMMYFUNCTION("""COMPUTED_VALUE"""),"new_page")</f>
        <v>new_page</v>
      </c>
      <c r="E2785" s="1">
        <f>IFERROR(__xludf.DUMMYFUNCTION("""COMPUTED_VALUE"""),1.0)</f>
        <v>1</v>
      </c>
    </row>
    <row r="2786">
      <c r="A2786" s="1">
        <f>IFERROR(__xludf.DUMMYFUNCTION("""COMPUTED_VALUE"""),695007.0)</f>
        <v>695007</v>
      </c>
      <c r="B2786" s="2">
        <f>IFERROR(__xludf.DUMMYFUNCTION("""COMPUTED_VALUE"""),42755.90937924536)</f>
        <v>42755.90938</v>
      </c>
      <c r="C2786" s="1" t="str">
        <f>IFERROR(__xludf.DUMMYFUNCTION("""COMPUTED_VALUE"""),"treatment")</f>
        <v>treatment</v>
      </c>
      <c r="D2786" s="1" t="str">
        <f>IFERROR(__xludf.DUMMYFUNCTION("""COMPUTED_VALUE"""),"new_page")</f>
        <v>new_page</v>
      </c>
      <c r="E2786" s="1">
        <f>IFERROR(__xludf.DUMMYFUNCTION("""COMPUTED_VALUE"""),0.0)</f>
        <v>0</v>
      </c>
    </row>
    <row r="2787">
      <c r="A2787" s="1">
        <f>IFERROR(__xludf.DUMMYFUNCTION("""COMPUTED_VALUE"""),802231.0)</f>
        <v>802231</v>
      </c>
      <c r="B2787" s="2">
        <f>IFERROR(__xludf.DUMMYFUNCTION("""COMPUTED_VALUE"""),42739.57330718152)</f>
        <v>42739.57331</v>
      </c>
      <c r="C2787" s="1" t="str">
        <f>IFERROR(__xludf.DUMMYFUNCTION("""COMPUTED_VALUE"""),"control")</f>
        <v>control</v>
      </c>
      <c r="D2787" s="1" t="str">
        <f>IFERROR(__xludf.DUMMYFUNCTION("""COMPUTED_VALUE"""),"old_page")</f>
        <v>old_page</v>
      </c>
      <c r="E2787" s="1">
        <f>IFERROR(__xludf.DUMMYFUNCTION("""COMPUTED_VALUE"""),0.0)</f>
        <v>0</v>
      </c>
    </row>
    <row r="2788">
      <c r="A2788" s="1">
        <f>IFERROR(__xludf.DUMMYFUNCTION("""COMPUTED_VALUE"""),793275.0)</f>
        <v>793275</v>
      </c>
      <c r="B2788" s="2">
        <f>IFERROR(__xludf.DUMMYFUNCTION("""COMPUTED_VALUE"""),42750.61507532027)</f>
        <v>42750.61508</v>
      </c>
      <c r="C2788" s="1" t="str">
        <f>IFERROR(__xludf.DUMMYFUNCTION("""COMPUTED_VALUE"""),"treatment")</f>
        <v>treatment</v>
      </c>
      <c r="D2788" s="1" t="str">
        <f>IFERROR(__xludf.DUMMYFUNCTION("""COMPUTED_VALUE"""),"new_page")</f>
        <v>new_page</v>
      </c>
      <c r="E2788" s="1">
        <f>IFERROR(__xludf.DUMMYFUNCTION("""COMPUTED_VALUE"""),0.0)</f>
        <v>0</v>
      </c>
    </row>
    <row r="2789">
      <c r="A2789" s="1">
        <f>IFERROR(__xludf.DUMMYFUNCTION("""COMPUTED_VALUE"""),791885.0)</f>
        <v>791885</v>
      </c>
      <c r="B2789" s="2">
        <f>IFERROR(__xludf.DUMMYFUNCTION("""COMPUTED_VALUE"""),42758.66548176768)</f>
        <v>42758.66548</v>
      </c>
      <c r="C2789" s="1" t="str">
        <f>IFERROR(__xludf.DUMMYFUNCTION("""COMPUTED_VALUE"""),"treatment")</f>
        <v>treatment</v>
      </c>
      <c r="D2789" s="1" t="str">
        <f>IFERROR(__xludf.DUMMYFUNCTION("""COMPUTED_VALUE"""),"new_page")</f>
        <v>new_page</v>
      </c>
      <c r="E2789" s="1">
        <f>IFERROR(__xludf.DUMMYFUNCTION("""COMPUTED_VALUE"""),0.0)</f>
        <v>0</v>
      </c>
    </row>
    <row r="2790">
      <c r="A2790" s="1">
        <f>IFERROR(__xludf.DUMMYFUNCTION("""COMPUTED_VALUE"""),807210.0)</f>
        <v>807210</v>
      </c>
      <c r="B2790" s="2">
        <f>IFERROR(__xludf.DUMMYFUNCTION("""COMPUTED_VALUE"""),42755.412880762626)</f>
        <v>42755.41288</v>
      </c>
      <c r="C2790" s="1" t="str">
        <f>IFERROR(__xludf.DUMMYFUNCTION("""COMPUTED_VALUE"""),"treatment")</f>
        <v>treatment</v>
      </c>
      <c r="D2790" s="1" t="str">
        <f>IFERROR(__xludf.DUMMYFUNCTION("""COMPUTED_VALUE"""),"new_page")</f>
        <v>new_page</v>
      </c>
      <c r="E2790" s="1">
        <f>IFERROR(__xludf.DUMMYFUNCTION("""COMPUTED_VALUE"""),0.0)</f>
        <v>0</v>
      </c>
    </row>
    <row r="2791">
      <c r="A2791" s="1">
        <f>IFERROR(__xludf.DUMMYFUNCTION("""COMPUTED_VALUE"""),885187.0)</f>
        <v>885187</v>
      </c>
      <c r="B2791" s="2">
        <f>IFERROR(__xludf.DUMMYFUNCTION("""COMPUTED_VALUE"""),42746.975944534155)</f>
        <v>42746.97594</v>
      </c>
      <c r="C2791" s="1" t="str">
        <f>IFERROR(__xludf.DUMMYFUNCTION("""COMPUTED_VALUE"""),"control")</f>
        <v>control</v>
      </c>
      <c r="D2791" s="1" t="str">
        <f>IFERROR(__xludf.DUMMYFUNCTION("""COMPUTED_VALUE"""),"old_page")</f>
        <v>old_page</v>
      </c>
      <c r="E2791" s="1">
        <f>IFERROR(__xludf.DUMMYFUNCTION("""COMPUTED_VALUE"""),1.0)</f>
        <v>1</v>
      </c>
    </row>
    <row r="2792">
      <c r="A2792" s="1">
        <f>IFERROR(__xludf.DUMMYFUNCTION("""COMPUTED_VALUE"""),655558.0)</f>
        <v>655558</v>
      </c>
      <c r="B2792" s="2">
        <f>IFERROR(__xludf.DUMMYFUNCTION("""COMPUTED_VALUE"""),42757.52910141339)</f>
        <v>42757.5291</v>
      </c>
      <c r="C2792" s="1" t="str">
        <f>IFERROR(__xludf.DUMMYFUNCTION("""COMPUTED_VALUE"""),"control")</f>
        <v>control</v>
      </c>
      <c r="D2792" s="1" t="str">
        <f>IFERROR(__xludf.DUMMYFUNCTION("""COMPUTED_VALUE"""),"old_page")</f>
        <v>old_page</v>
      </c>
      <c r="E2792" s="1">
        <f>IFERROR(__xludf.DUMMYFUNCTION("""COMPUTED_VALUE"""),1.0)</f>
        <v>1</v>
      </c>
    </row>
    <row r="2793">
      <c r="A2793" s="1">
        <f>IFERROR(__xludf.DUMMYFUNCTION("""COMPUTED_VALUE"""),937896.0)</f>
        <v>937896</v>
      </c>
      <c r="B2793" s="2">
        <f>IFERROR(__xludf.DUMMYFUNCTION("""COMPUTED_VALUE"""),42743.19913170936)</f>
        <v>42743.19913</v>
      </c>
      <c r="C2793" s="1" t="str">
        <f>IFERROR(__xludf.DUMMYFUNCTION("""COMPUTED_VALUE"""),"control")</f>
        <v>control</v>
      </c>
      <c r="D2793" s="1" t="str">
        <f>IFERROR(__xludf.DUMMYFUNCTION("""COMPUTED_VALUE"""),"old_page")</f>
        <v>old_page</v>
      </c>
      <c r="E2793" s="1">
        <f>IFERROR(__xludf.DUMMYFUNCTION("""COMPUTED_VALUE"""),0.0)</f>
        <v>0</v>
      </c>
    </row>
    <row r="2794">
      <c r="A2794" s="1">
        <f>IFERROR(__xludf.DUMMYFUNCTION("""COMPUTED_VALUE"""),846065.0)</f>
        <v>846065</v>
      </c>
      <c r="B2794" s="2">
        <f>IFERROR(__xludf.DUMMYFUNCTION("""COMPUTED_VALUE"""),42754.03928193162)</f>
        <v>42754.03928</v>
      </c>
      <c r="C2794" s="1" t="str">
        <f>IFERROR(__xludf.DUMMYFUNCTION("""COMPUTED_VALUE"""),"treatment")</f>
        <v>treatment</v>
      </c>
      <c r="D2794" s="1" t="str">
        <f>IFERROR(__xludf.DUMMYFUNCTION("""COMPUTED_VALUE"""),"new_page")</f>
        <v>new_page</v>
      </c>
      <c r="E2794" s="1">
        <f>IFERROR(__xludf.DUMMYFUNCTION("""COMPUTED_VALUE"""),0.0)</f>
        <v>0</v>
      </c>
    </row>
    <row r="2795">
      <c r="A2795" s="1">
        <f>IFERROR(__xludf.DUMMYFUNCTION("""COMPUTED_VALUE"""),638001.0)</f>
        <v>638001</v>
      </c>
      <c r="B2795" s="2">
        <f>IFERROR(__xludf.DUMMYFUNCTION("""COMPUTED_VALUE"""),42739.848949417894)</f>
        <v>42739.84895</v>
      </c>
      <c r="C2795" s="1" t="str">
        <f>IFERROR(__xludf.DUMMYFUNCTION("""COMPUTED_VALUE"""),"control")</f>
        <v>control</v>
      </c>
      <c r="D2795" s="1" t="str">
        <f>IFERROR(__xludf.DUMMYFUNCTION("""COMPUTED_VALUE"""),"old_page")</f>
        <v>old_page</v>
      </c>
      <c r="E2795" s="1">
        <f>IFERROR(__xludf.DUMMYFUNCTION("""COMPUTED_VALUE"""),1.0)</f>
        <v>1</v>
      </c>
    </row>
    <row r="2796">
      <c r="A2796" s="1">
        <f>IFERROR(__xludf.DUMMYFUNCTION("""COMPUTED_VALUE"""),695270.0)</f>
        <v>695270</v>
      </c>
      <c r="B2796" s="2">
        <f>IFERROR(__xludf.DUMMYFUNCTION("""COMPUTED_VALUE"""),42758.305978226424)</f>
        <v>42758.30598</v>
      </c>
      <c r="C2796" s="1" t="str">
        <f>IFERROR(__xludf.DUMMYFUNCTION("""COMPUTED_VALUE"""),"treatment")</f>
        <v>treatment</v>
      </c>
      <c r="D2796" s="1" t="str">
        <f>IFERROR(__xludf.DUMMYFUNCTION("""COMPUTED_VALUE"""),"new_page")</f>
        <v>new_page</v>
      </c>
      <c r="E2796" s="1">
        <f>IFERROR(__xludf.DUMMYFUNCTION("""COMPUTED_VALUE"""),0.0)</f>
        <v>0</v>
      </c>
    </row>
    <row r="2797">
      <c r="A2797" s="1">
        <f>IFERROR(__xludf.DUMMYFUNCTION("""COMPUTED_VALUE"""),720715.0)</f>
        <v>720715</v>
      </c>
      <c r="B2797" s="2">
        <f>IFERROR(__xludf.DUMMYFUNCTION("""COMPUTED_VALUE"""),42743.54168283803)</f>
        <v>42743.54168</v>
      </c>
      <c r="C2797" s="1" t="str">
        <f>IFERROR(__xludf.DUMMYFUNCTION("""COMPUTED_VALUE"""),"control")</f>
        <v>control</v>
      </c>
      <c r="D2797" s="1" t="str">
        <f>IFERROR(__xludf.DUMMYFUNCTION("""COMPUTED_VALUE"""),"old_page")</f>
        <v>old_page</v>
      </c>
      <c r="E2797" s="1">
        <f>IFERROR(__xludf.DUMMYFUNCTION("""COMPUTED_VALUE"""),0.0)</f>
        <v>0</v>
      </c>
    </row>
    <row r="2798">
      <c r="A2798" s="1">
        <f>IFERROR(__xludf.DUMMYFUNCTION("""COMPUTED_VALUE"""),751426.0)</f>
        <v>751426</v>
      </c>
      <c r="B2798" s="2">
        <f>IFERROR(__xludf.DUMMYFUNCTION("""COMPUTED_VALUE"""),42753.392036122306)</f>
        <v>42753.39204</v>
      </c>
      <c r="C2798" s="1" t="str">
        <f>IFERROR(__xludf.DUMMYFUNCTION("""COMPUTED_VALUE"""),"control")</f>
        <v>control</v>
      </c>
      <c r="D2798" s="1" t="str">
        <f>IFERROR(__xludf.DUMMYFUNCTION("""COMPUTED_VALUE"""),"old_page")</f>
        <v>old_page</v>
      </c>
      <c r="E2798" s="1">
        <f>IFERROR(__xludf.DUMMYFUNCTION("""COMPUTED_VALUE"""),1.0)</f>
        <v>1</v>
      </c>
    </row>
    <row r="2799">
      <c r="A2799" s="1">
        <f>IFERROR(__xludf.DUMMYFUNCTION("""COMPUTED_VALUE"""),795301.0)</f>
        <v>795301</v>
      </c>
      <c r="B2799" s="2">
        <f>IFERROR(__xludf.DUMMYFUNCTION("""COMPUTED_VALUE"""),42753.47956855987)</f>
        <v>42753.47957</v>
      </c>
      <c r="C2799" s="1" t="str">
        <f>IFERROR(__xludf.DUMMYFUNCTION("""COMPUTED_VALUE"""),"control")</f>
        <v>control</v>
      </c>
      <c r="D2799" s="1" t="str">
        <f>IFERROR(__xludf.DUMMYFUNCTION("""COMPUTED_VALUE"""),"old_page")</f>
        <v>old_page</v>
      </c>
      <c r="E2799" s="1">
        <f>IFERROR(__xludf.DUMMYFUNCTION("""COMPUTED_VALUE"""),0.0)</f>
        <v>0</v>
      </c>
    </row>
    <row r="2800">
      <c r="A2800" s="1">
        <f>IFERROR(__xludf.DUMMYFUNCTION("""COMPUTED_VALUE"""),802763.0)</f>
        <v>802763</v>
      </c>
      <c r="B2800" s="2">
        <f>IFERROR(__xludf.DUMMYFUNCTION("""COMPUTED_VALUE"""),42759.08066925463)</f>
        <v>42759.08067</v>
      </c>
      <c r="C2800" s="1" t="str">
        <f>IFERROR(__xludf.DUMMYFUNCTION("""COMPUTED_VALUE"""),"treatment")</f>
        <v>treatment</v>
      </c>
      <c r="D2800" s="1" t="str">
        <f>IFERROR(__xludf.DUMMYFUNCTION("""COMPUTED_VALUE"""),"new_page")</f>
        <v>new_page</v>
      </c>
      <c r="E2800" s="1">
        <f>IFERROR(__xludf.DUMMYFUNCTION("""COMPUTED_VALUE"""),0.0)</f>
        <v>0</v>
      </c>
    </row>
    <row r="2801">
      <c r="A2801" s="1">
        <f>IFERROR(__xludf.DUMMYFUNCTION("""COMPUTED_VALUE"""),758188.0)</f>
        <v>758188</v>
      </c>
      <c r="B2801" s="2">
        <f>IFERROR(__xludf.DUMMYFUNCTION("""COMPUTED_VALUE"""),42739.843300406734)</f>
        <v>42739.8433</v>
      </c>
      <c r="C2801" s="1" t="str">
        <f>IFERROR(__xludf.DUMMYFUNCTION("""COMPUTED_VALUE"""),"control")</f>
        <v>control</v>
      </c>
      <c r="D2801" s="1" t="str">
        <f>IFERROR(__xludf.DUMMYFUNCTION("""COMPUTED_VALUE"""),"old_page")</f>
        <v>old_page</v>
      </c>
      <c r="E2801" s="1">
        <f>IFERROR(__xludf.DUMMYFUNCTION("""COMPUTED_VALUE"""),0.0)</f>
        <v>0</v>
      </c>
    </row>
    <row r="2802">
      <c r="A2802" s="1">
        <f>IFERROR(__xludf.DUMMYFUNCTION("""COMPUTED_VALUE"""),694479.0)</f>
        <v>694479</v>
      </c>
      <c r="B2802" s="2">
        <f>IFERROR(__xludf.DUMMYFUNCTION("""COMPUTED_VALUE"""),42742.503736829494)</f>
        <v>42742.50374</v>
      </c>
      <c r="C2802" s="1" t="str">
        <f>IFERROR(__xludf.DUMMYFUNCTION("""COMPUTED_VALUE"""),"control")</f>
        <v>control</v>
      </c>
      <c r="D2802" s="1" t="str">
        <f>IFERROR(__xludf.DUMMYFUNCTION("""COMPUTED_VALUE"""),"old_page")</f>
        <v>old_page</v>
      </c>
      <c r="E2802" s="1">
        <f>IFERROR(__xludf.DUMMYFUNCTION("""COMPUTED_VALUE"""),1.0)</f>
        <v>1</v>
      </c>
    </row>
    <row r="2803">
      <c r="A2803" s="1">
        <f>IFERROR(__xludf.DUMMYFUNCTION("""COMPUTED_VALUE"""),889708.0)</f>
        <v>889708</v>
      </c>
      <c r="B2803" s="2">
        <f>IFERROR(__xludf.DUMMYFUNCTION("""COMPUTED_VALUE"""),42756.19202909778)</f>
        <v>42756.19203</v>
      </c>
      <c r="C2803" s="1" t="str">
        <f>IFERROR(__xludf.DUMMYFUNCTION("""COMPUTED_VALUE"""),"control")</f>
        <v>control</v>
      </c>
      <c r="D2803" s="1" t="str">
        <f>IFERROR(__xludf.DUMMYFUNCTION("""COMPUTED_VALUE"""),"old_page")</f>
        <v>old_page</v>
      </c>
      <c r="E2803" s="1">
        <f>IFERROR(__xludf.DUMMYFUNCTION("""COMPUTED_VALUE"""),0.0)</f>
        <v>0</v>
      </c>
    </row>
    <row r="2804">
      <c r="A2804" s="1">
        <f>IFERROR(__xludf.DUMMYFUNCTION("""COMPUTED_VALUE"""),664048.0)</f>
        <v>664048</v>
      </c>
      <c r="B2804" s="2">
        <f>IFERROR(__xludf.DUMMYFUNCTION("""COMPUTED_VALUE"""),42759.07273733195)</f>
        <v>42759.07274</v>
      </c>
      <c r="C2804" s="1" t="str">
        <f>IFERROR(__xludf.DUMMYFUNCTION("""COMPUTED_VALUE"""),"control")</f>
        <v>control</v>
      </c>
      <c r="D2804" s="1" t="str">
        <f>IFERROR(__xludf.DUMMYFUNCTION("""COMPUTED_VALUE"""),"old_page")</f>
        <v>old_page</v>
      </c>
      <c r="E2804" s="1">
        <f>IFERROR(__xludf.DUMMYFUNCTION("""COMPUTED_VALUE"""),0.0)</f>
        <v>0</v>
      </c>
    </row>
    <row r="2805">
      <c r="A2805" s="1">
        <f>IFERROR(__xludf.DUMMYFUNCTION("""COMPUTED_VALUE"""),685798.0)</f>
        <v>685798</v>
      </c>
      <c r="B2805" s="2">
        <f>IFERROR(__xludf.DUMMYFUNCTION("""COMPUTED_VALUE"""),42749.07943147402)</f>
        <v>42749.07943</v>
      </c>
      <c r="C2805" s="1" t="str">
        <f>IFERROR(__xludf.DUMMYFUNCTION("""COMPUTED_VALUE"""),"control")</f>
        <v>control</v>
      </c>
      <c r="D2805" s="1" t="str">
        <f>IFERROR(__xludf.DUMMYFUNCTION("""COMPUTED_VALUE"""),"old_page")</f>
        <v>old_page</v>
      </c>
      <c r="E2805" s="1">
        <f>IFERROR(__xludf.DUMMYFUNCTION("""COMPUTED_VALUE"""),0.0)</f>
        <v>0</v>
      </c>
    </row>
    <row r="2806">
      <c r="A2806" s="1">
        <f>IFERROR(__xludf.DUMMYFUNCTION("""COMPUTED_VALUE"""),780053.0)</f>
        <v>780053</v>
      </c>
      <c r="B2806" s="2">
        <f>IFERROR(__xludf.DUMMYFUNCTION("""COMPUTED_VALUE"""),42747.86242147922)</f>
        <v>42747.86242</v>
      </c>
      <c r="C2806" s="1" t="str">
        <f>IFERROR(__xludf.DUMMYFUNCTION("""COMPUTED_VALUE"""),"treatment")</f>
        <v>treatment</v>
      </c>
      <c r="D2806" s="1" t="str">
        <f>IFERROR(__xludf.DUMMYFUNCTION("""COMPUTED_VALUE"""),"new_page")</f>
        <v>new_page</v>
      </c>
      <c r="E2806" s="1">
        <f>IFERROR(__xludf.DUMMYFUNCTION("""COMPUTED_VALUE"""),0.0)</f>
        <v>0</v>
      </c>
    </row>
    <row r="2807">
      <c r="A2807" s="1">
        <f>IFERROR(__xludf.DUMMYFUNCTION("""COMPUTED_VALUE"""),721943.0)</f>
        <v>721943</v>
      </c>
      <c r="B2807" s="2">
        <f>IFERROR(__xludf.DUMMYFUNCTION("""COMPUTED_VALUE"""),42740.04780870712)</f>
        <v>42740.04781</v>
      </c>
      <c r="C2807" s="1" t="str">
        <f>IFERROR(__xludf.DUMMYFUNCTION("""COMPUTED_VALUE"""),"control")</f>
        <v>control</v>
      </c>
      <c r="D2807" s="1" t="str">
        <f>IFERROR(__xludf.DUMMYFUNCTION("""COMPUTED_VALUE"""),"old_page")</f>
        <v>old_page</v>
      </c>
      <c r="E2807" s="1">
        <f>IFERROR(__xludf.DUMMYFUNCTION("""COMPUTED_VALUE"""),0.0)</f>
        <v>0</v>
      </c>
    </row>
    <row r="2808">
      <c r="A2808" s="1">
        <f>IFERROR(__xludf.DUMMYFUNCTION("""COMPUTED_VALUE"""),927416.0)</f>
        <v>927416</v>
      </c>
      <c r="B2808" s="2">
        <f>IFERROR(__xludf.DUMMYFUNCTION("""COMPUTED_VALUE"""),42749.72870429773)</f>
        <v>42749.7287</v>
      </c>
      <c r="C2808" s="1" t="str">
        <f>IFERROR(__xludf.DUMMYFUNCTION("""COMPUTED_VALUE"""),"treatment")</f>
        <v>treatment</v>
      </c>
      <c r="D2808" s="1" t="str">
        <f>IFERROR(__xludf.DUMMYFUNCTION("""COMPUTED_VALUE"""),"new_page")</f>
        <v>new_page</v>
      </c>
      <c r="E2808" s="1">
        <f>IFERROR(__xludf.DUMMYFUNCTION("""COMPUTED_VALUE"""),0.0)</f>
        <v>0</v>
      </c>
    </row>
    <row r="2809">
      <c r="A2809" s="1">
        <f>IFERROR(__xludf.DUMMYFUNCTION("""COMPUTED_VALUE"""),841535.0)</f>
        <v>841535</v>
      </c>
      <c r="B2809" s="2">
        <f>IFERROR(__xludf.DUMMYFUNCTION("""COMPUTED_VALUE"""),42741.29241740363)</f>
        <v>42741.29242</v>
      </c>
      <c r="C2809" s="1" t="str">
        <f>IFERROR(__xludf.DUMMYFUNCTION("""COMPUTED_VALUE"""),"treatment")</f>
        <v>treatment</v>
      </c>
      <c r="D2809" s="1" t="str">
        <f>IFERROR(__xludf.DUMMYFUNCTION("""COMPUTED_VALUE"""),"new_page")</f>
        <v>new_page</v>
      </c>
      <c r="E2809" s="1">
        <f>IFERROR(__xludf.DUMMYFUNCTION("""COMPUTED_VALUE"""),0.0)</f>
        <v>0</v>
      </c>
    </row>
    <row r="2810">
      <c r="A2810" s="1">
        <f>IFERROR(__xludf.DUMMYFUNCTION("""COMPUTED_VALUE"""),687208.0)</f>
        <v>687208</v>
      </c>
      <c r="B2810" s="2">
        <f>IFERROR(__xludf.DUMMYFUNCTION("""COMPUTED_VALUE"""),42738.33857420361)</f>
        <v>42738.33857</v>
      </c>
      <c r="C2810" s="1" t="str">
        <f>IFERROR(__xludf.DUMMYFUNCTION("""COMPUTED_VALUE"""),"control")</f>
        <v>control</v>
      </c>
      <c r="D2810" s="1" t="str">
        <f>IFERROR(__xludf.DUMMYFUNCTION("""COMPUTED_VALUE"""),"old_page")</f>
        <v>old_page</v>
      </c>
      <c r="E2810" s="1">
        <f>IFERROR(__xludf.DUMMYFUNCTION("""COMPUTED_VALUE"""),0.0)</f>
        <v>0</v>
      </c>
    </row>
    <row r="2811">
      <c r="A2811" s="1">
        <f>IFERROR(__xludf.DUMMYFUNCTION("""COMPUTED_VALUE"""),710730.0)</f>
        <v>710730</v>
      </c>
      <c r="B2811" s="2">
        <f>IFERROR(__xludf.DUMMYFUNCTION("""COMPUTED_VALUE"""),42756.15581699806)</f>
        <v>42756.15582</v>
      </c>
      <c r="C2811" s="1" t="str">
        <f>IFERROR(__xludf.DUMMYFUNCTION("""COMPUTED_VALUE"""),"control")</f>
        <v>control</v>
      </c>
      <c r="D2811" s="1" t="str">
        <f>IFERROR(__xludf.DUMMYFUNCTION("""COMPUTED_VALUE"""),"old_page")</f>
        <v>old_page</v>
      </c>
      <c r="E2811" s="1">
        <f>IFERROR(__xludf.DUMMYFUNCTION("""COMPUTED_VALUE"""),0.0)</f>
        <v>0</v>
      </c>
    </row>
    <row r="2812">
      <c r="A2812" s="1">
        <f>IFERROR(__xludf.DUMMYFUNCTION("""COMPUTED_VALUE"""),694758.0)</f>
        <v>694758</v>
      </c>
      <c r="B2812" s="2">
        <f>IFERROR(__xludf.DUMMYFUNCTION("""COMPUTED_VALUE"""),42749.87933989998)</f>
        <v>42749.87934</v>
      </c>
      <c r="C2812" s="1" t="str">
        <f>IFERROR(__xludf.DUMMYFUNCTION("""COMPUTED_VALUE"""),"treatment")</f>
        <v>treatment</v>
      </c>
      <c r="D2812" s="1" t="str">
        <f>IFERROR(__xludf.DUMMYFUNCTION("""COMPUTED_VALUE"""),"new_page")</f>
        <v>new_page</v>
      </c>
      <c r="E2812" s="1">
        <f>IFERROR(__xludf.DUMMYFUNCTION("""COMPUTED_VALUE"""),0.0)</f>
        <v>0</v>
      </c>
    </row>
    <row r="2813">
      <c r="A2813" s="1">
        <f>IFERROR(__xludf.DUMMYFUNCTION("""COMPUTED_VALUE"""),889635.0)</f>
        <v>889635</v>
      </c>
      <c r="B2813" s="2">
        <f>IFERROR(__xludf.DUMMYFUNCTION("""COMPUTED_VALUE"""),42739.169416701436)</f>
        <v>42739.16942</v>
      </c>
      <c r="C2813" s="1" t="str">
        <f>IFERROR(__xludf.DUMMYFUNCTION("""COMPUTED_VALUE"""),"control")</f>
        <v>control</v>
      </c>
      <c r="D2813" s="1" t="str">
        <f>IFERROR(__xludf.DUMMYFUNCTION("""COMPUTED_VALUE"""),"old_page")</f>
        <v>old_page</v>
      </c>
      <c r="E2813" s="1">
        <f>IFERROR(__xludf.DUMMYFUNCTION("""COMPUTED_VALUE"""),1.0)</f>
        <v>1</v>
      </c>
    </row>
    <row r="2814">
      <c r="A2814" s="1">
        <f>IFERROR(__xludf.DUMMYFUNCTION("""COMPUTED_VALUE"""),702977.0)</f>
        <v>702977</v>
      </c>
      <c r="B2814" s="2">
        <f>IFERROR(__xludf.DUMMYFUNCTION("""COMPUTED_VALUE"""),42746.696096014915)</f>
        <v>42746.6961</v>
      </c>
      <c r="C2814" s="1" t="str">
        <f>IFERROR(__xludf.DUMMYFUNCTION("""COMPUTED_VALUE"""),"treatment")</f>
        <v>treatment</v>
      </c>
      <c r="D2814" s="1" t="str">
        <f>IFERROR(__xludf.DUMMYFUNCTION("""COMPUTED_VALUE"""),"new_page")</f>
        <v>new_page</v>
      </c>
      <c r="E2814" s="1">
        <f>IFERROR(__xludf.DUMMYFUNCTION("""COMPUTED_VALUE"""),0.0)</f>
        <v>0</v>
      </c>
    </row>
    <row r="2815">
      <c r="A2815" s="1">
        <f>IFERROR(__xludf.DUMMYFUNCTION("""COMPUTED_VALUE"""),718751.0)</f>
        <v>718751</v>
      </c>
      <c r="B2815" s="2">
        <f>IFERROR(__xludf.DUMMYFUNCTION("""COMPUTED_VALUE"""),42737.74832676796)</f>
        <v>42737.74833</v>
      </c>
      <c r="C2815" s="1" t="str">
        <f>IFERROR(__xludf.DUMMYFUNCTION("""COMPUTED_VALUE"""),"treatment")</f>
        <v>treatment</v>
      </c>
      <c r="D2815" s="1" t="str">
        <f>IFERROR(__xludf.DUMMYFUNCTION("""COMPUTED_VALUE"""),"new_page")</f>
        <v>new_page</v>
      </c>
      <c r="E2815" s="1">
        <f>IFERROR(__xludf.DUMMYFUNCTION("""COMPUTED_VALUE"""),0.0)</f>
        <v>0</v>
      </c>
    </row>
    <row r="2816">
      <c r="A2816" s="1">
        <f>IFERROR(__xludf.DUMMYFUNCTION("""COMPUTED_VALUE"""),722066.0)</f>
        <v>722066</v>
      </c>
      <c r="B2816" s="2">
        <f>IFERROR(__xludf.DUMMYFUNCTION("""COMPUTED_VALUE"""),42742.71302402412)</f>
        <v>42742.71302</v>
      </c>
      <c r="C2816" s="1" t="str">
        <f>IFERROR(__xludf.DUMMYFUNCTION("""COMPUTED_VALUE"""),"control")</f>
        <v>control</v>
      </c>
      <c r="D2816" s="1" t="str">
        <f>IFERROR(__xludf.DUMMYFUNCTION("""COMPUTED_VALUE"""),"old_page")</f>
        <v>old_page</v>
      </c>
      <c r="E2816" s="1">
        <f>IFERROR(__xludf.DUMMYFUNCTION("""COMPUTED_VALUE"""),0.0)</f>
        <v>0</v>
      </c>
    </row>
    <row r="2817">
      <c r="A2817" s="1">
        <f>IFERROR(__xludf.DUMMYFUNCTION("""COMPUTED_VALUE"""),805741.0)</f>
        <v>805741</v>
      </c>
      <c r="B2817" s="2">
        <f>IFERROR(__xludf.DUMMYFUNCTION("""COMPUTED_VALUE"""),42742.01985587019)</f>
        <v>42742.01986</v>
      </c>
      <c r="C2817" s="1" t="str">
        <f>IFERROR(__xludf.DUMMYFUNCTION("""COMPUTED_VALUE"""),"control")</f>
        <v>control</v>
      </c>
      <c r="D2817" s="1" t="str">
        <f>IFERROR(__xludf.DUMMYFUNCTION("""COMPUTED_VALUE"""),"old_page")</f>
        <v>old_page</v>
      </c>
      <c r="E2817" s="1">
        <f>IFERROR(__xludf.DUMMYFUNCTION("""COMPUTED_VALUE"""),0.0)</f>
        <v>0</v>
      </c>
    </row>
    <row r="2818">
      <c r="A2818" s="1">
        <f>IFERROR(__xludf.DUMMYFUNCTION("""COMPUTED_VALUE"""),829009.0)</f>
        <v>829009</v>
      </c>
      <c r="B2818" s="2">
        <f>IFERROR(__xludf.DUMMYFUNCTION("""COMPUTED_VALUE"""),42749.98633330071)</f>
        <v>42749.98633</v>
      </c>
      <c r="C2818" s="1" t="str">
        <f>IFERROR(__xludf.DUMMYFUNCTION("""COMPUTED_VALUE"""),"control")</f>
        <v>control</v>
      </c>
      <c r="D2818" s="1" t="str">
        <f>IFERROR(__xludf.DUMMYFUNCTION("""COMPUTED_VALUE"""),"old_page")</f>
        <v>old_page</v>
      </c>
      <c r="E2818" s="1">
        <f>IFERROR(__xludf.DUMMYFUNCTION("""COMPUTED_VALUE"""),0.0)</f>
        <v>0</v>
      </c>
    </row>
    <row r="2819">
      <c r="A2819" s="1">
        <f>IFERROR(__xludf.DUMMYFUNCTION("""COMPUTED_VALUE"""),732774.0)</f>
        <v>732774</v>
      </c>
      <c r="B2819" s="2">
        <f>IFERROR(__xludf.DUMMYFUNCTION("""COMPUTED_VALUE"""),42740.81822530766)</f>
        <v>42740.81823</v>
      </c>
      <c r="C2819" s="1" t="str">
        <f>IFERROR(__xludf.DUMMYFUNCTION("""COMPUTED_VALUE"""),"control")</f>
        <v>control</v>
      </c>
      <c r="D2819" s="1" t="str">
        <f>IFERROR(__xludf.DUMMYFUNCTION("""COMPUTED_VALUE"""),"old_page")</f>
        <v>old_page</v>
      </c>
      <c r="E2819" s="1">
        <f>IFERROR(__xludf.DUMMYFUNCTION("""COMPUTED_VALUE"""),0.0)</f>
        <v>0</v>
      </c>
    </row>
    <row r="2820">
      <c r="A2820" s="1">
        <f>IFERROR(__xludf.DUMMYFUNCTION("""COMPUTED_VALUE"""),829790.0)</f>
        <v>829790</v>
      </c>
      <c r="B2820" s="2">
        <f>IFERROR(__xludf.DUMMYFUNCTION("""COMPUTED_VALUE"""),42741.25667319184)</f>
        <v>42741.25667</v>
      </c>
      <c r="C2820" s="1" t="str">
        <f>IFERROR(__xludf.DUMMYFUNCTION("""COMPUTED_VALUE"""),"treatment")</f>
        <v>treatment</v>
      </c>
      <c r="D2820" s="1" t="str">
        <f>IFERROR(__xludf.DUMMYFUNCTION("""COMPUTED_VALUE"""),"new_page")</f>
        <v>new_page</v>
      </c>
      <c r="E2820" s="1">
        <f>IFERROR(__xludf.DUMMYFUNCTION("""COMPUTED_VALUE"""),0.0)</f>
        <v>0</v>
      </c>
    </row>
    <row r="2821">
      <c r="A2821" s="1">
        <f>IFERROR(__xludf.DUMMYFUNCTION("""COMPUTED_VALUE"""),636762.0)</f>
        <v>636762</v>
      </c>
      <c r="B2821" s="2">
        <f>IFERROR(__xludf.DUMMYFUNCTION("""COMPUTED_VALUE"""),42758.673125444)</f>
        <v>42758.67313</v>
      </c>
      <c r="C2821" s="1" t="str">
        <f>IFERROR(__xludf.DUMMYFUNCTION("""COMPUTED_VALUE"""),"control")</f>
        <v>control</v>
      </c>
      <c r="D2821" s="1" t="str">
        <f>IFERROR(__xludf.DUMMYFUNCTION("""COMPUTED_VALUE"""),"old_page")</f>
        <v>old_page</v>
      </c>
      <c r="E2821" s="1">
        <f>IFERROR(__xludf.DUMMYFUNCTION("""COMPUTED_VALUE"""),0.0)</f>
        <v>0</v>
      </c>
    </row>
    <row r="2822">
      <c r="A2822" s="1">
        <f>IFERROR(__xludf.DUMMYFUNCTION("""COMPUTED_VALUE"""),676677.0)</f>
        <v>676677</v>
      </c>
      <c r="B2822" s="2">
        <f>IFERROR(__xludf.DUMMYFUNCTION("""COMPUTED_VALUE"""),42759.03365297165)</f>
        <v>42759.03365</v>
      </c>
      <c r="C2822" s="1" t="str">
        <f>IFERROR(__xludf.DUMMYFUNCTION("""COMPUTED_VALUE"""),"control")</f>
        <v>control</v>
      </c>
      <c r="D2822" s="1" t="str">
        <f>IFERROR(__xludf.DUMMYFUNCTION("""COMPUTED_VALUE"""),"old_page")</f>
        <v>old_page</v>
      </c>
      <c r="E2822" s="1">
        <f>IFERROR(__xludf.DUMMYFUNCTION("""COMPUTED_VALUE"""),1.0)</f>
        <v>1</v>
      </c>
    </row>
    <row r="2823">
      <c r="A2823" s="1">
        <f>IFERROR(__xludf.DUMMYFUNCTION("""COMPUTED_VALUE"""),859478.0)</f>
        <v>859478</v>
      </c>
      <c r="B2823" s="2">
        <f>IFERROR(__xludf.DUMMYFUNCTION("""COMPUTED_VALUE"""),42750.298067348034)</f>
        <v>42750.29807</v>
      </c>
      <c r="C2823" s="1" t="str">
        <f>IFERROR(__xludf.DUMMYFUNCTION("""COMPUTED_VALUE"""),"treatment")</f>
        <v>treatment</v>
      </c>
      <c r="D2823" s="1" t="str">
        <f>IFERROR(__xludf.DUMMYFUNCTION("""COMPUTED_VALUE"""),"new_page")</f>
        <v>new_page</v>
      </c>
      <c r="E2823" s="1">
        <f>IFERROR(__xludf.DUMMYFUNCTION("""COMPUTED_VALUE"""),0.0)</f>
        <v>0</v>
      </c>
    </row>
    <row r="2824">
      <c r="A2824" s="1">
        <f>IFERROR(__xludf.DUMMYFUNCTION("""COMPUTED_VALUE"""),789688.0)</f>
        <v>789688</v>
      </c>
      <c r="B2824" s="2">
        <f>IFERROR(__xludf.DUMMYFUNCTION("""COMPUTED_VALUE"""),42744.156101655564)</f>
        <v>42744.1561</v>
      </c>
      <c r="C2824" s="1" t="str">
        <f>IFERROR(__xludf.DUMMYFUNCTION("""COMPUTED_VALUE"""),"treatment")</f>
        <v>treatment</v>
      </c>
      <c r="D2824" s="1" t="str">
        <f>IFERROR(__xludf.DUMMYFUNCTION("""COMPUTED_VALUE"""),"new_page")</f>
        <v>new_page</v>
      </c>
      <c r="E2824" s="1">
        <f>IFERROR(__xludf.DUMMYFUNCTION("""COMPUTED_VALUE"""),0.0)</f>
        <v>0</v>
      </c>
    </row>
    <row r="2825">
      <c r="A2825" s="1">
        <f>IFERROR(__xludf.DUMMYFUNCTION("""COMPUTED_VALUE"""),803976.0)</f>
        <v>803976</v>
      </c>
      <c r="B2825" s="2">
        <f>IFERROR(__xludf.DUMMYFUNCTION("""COMPUTED_VALUE"""),42738.31080605572)</f>
        <v>42738.31081</v>
      </c>
      <c r="C2825" s="1" t="str">
        <f>IFERROR(__xludf.DUMMYFUNCTION("""COMPUTED_VALUE"""),"control")</f>
        <v>control</v>
      </c>
      <c r="D2825" s="1" t="str">
        <f>IFERROR(__xludf.DUMMYFUNCTION("""COMPUTED_VALUE"""),"old_page")</f>
        <v>old_page</v>
      </c>
      <c r="E2825" s="1">
        <f>IFERROR(__xludf.DUMMYFUNCTION("""COMPUTED_VALUE"""),0.0)</f>
        <v>0</v>
      </c>
    </row>
    <row r="2826">
      <c r="A2826" s="1">
        <f>IFERROR(__xludf.DUMMYFUNCTION("""COMPUTED_VALUE"""),694200.0)</f>
        <v>694200</v>
      </c>
      <c r="B2826" s="2">
        <f>IFERROR(__xludf.DUMMYFUNCTION("""COMPUTED_VALUE"""),42756.73169485974)</f>
        <v>42756.73169</v>
      </c>
      <c r="C2826" s="1" t="str">
        <f>IFERROR(__xludf.DUMMYFUNCTION("""COMPUTED_VALUE"""),"control")</f>
        <v>control</v>
      </c>
      <c r="D2826" s="1" t="str">
        <f>IFERROR(__xludf.DUMMYFUNCTION("""COMPUTED_VALUE"""),"old_page")</f>
        <v>old_page</v>
      </c>
      <c r="E2826" s="1">
        <f>IFERROR(__xludf.DUMMYFUNCTION("""COMPUTED_VALUE"""),0.0)</f>
        <v>0</v>
      </c>
    </row>
    <row r="2827">
      <c r="A2827" s="1">
        <f>IFERROR(__xludf.DUMMYFUNCTION("""COMPUTED_VALUE"""),897376.0)</f>
        <v>897376</v>
      </c>
      <c r="B2827" s="2">
        <f>IFERROR(__xludf.DUMMYFUNCTION("""COMPUTED_VALUE"""),42741.12192194298)</f>
        <v>42741.12192</v>
      </c>
      <c r="C2827" s="1" t="str">
        <f>IFERROR(__xludf.DUMMYFUNCTION("""COMPUTED_VALUE"""),"treatment")</f>
        <v>treatment</v>
      </c>
      <c r="D2827" s="1" t="str">
        <f>IFERROR(__xludf.DUMMYFUNCTION("""COMPUTED_VALUE"""),"new_page")</f>
        <v>new_page</v>
      </c>
      <c r="E2827" s="1">
        <f>IFERROR(__xludf.DUMMYFUNCTION("""COMPUTED_VALUE"""),0.0)</f>
        <v>0</v>
      </c>
    </row>
    <row r="2828">
      <c r="A2828" s="1">
        <f>IFERROR(__xludf.DUMMYFUNCTION("""COMPUTED_VALUE"""),915937.0)</f>
        <v>915937</v>
      </c>
      <c r="B2828" s="2">
        <f>IFERROR(__xludf.DUMMYFUNCTION("""COMPUTED_VALUE"""),42745.70872258337)</f>
        <v>42745.70872</v>
      </c>
      <c r="C2828" s="1" t="str">
        <f>IFERROR(__xludf.DUMMYFUNCTION("""COMPUTED_VALUE"""),"treatment")</f>
        <v>treatment</v>
      </c>
      <c r="D2828" s="1" t="str">
        <f>IFERROR(__xludf.DUMMYFUNCTION("""COMPUTED_VALUE"""),"new_page")</f>
        <v>new_page</v>
      </c>
      <c r="E2828" s="1">
        <f>IFERROR(__xludf.DUMMYFUNCTION("""COMPUTED_VALUE"""),0.0)</f>
        <v>0</v>
      </c>
    </row>
    <row r="2829">
      <c r="A2829" s="1">
        <f>IFERROR(__xludf.DUMMYFUNCTION("""COMPUTED_VALUE"""),778744.0)</f>
        <v>778744</v>
      </c>
      <c r="B2829" s="2">
        <f>IFERROR(__xludf.DUMMYFUNCTION("""COMPUTED_VALUE"""),42745.73055519975)</f>
        <v>42745.73056</v>
      </c>
      <c r="C2829" s="1" t="str">
        <f>IFERROR(__xludf.DUMMYFUNCTION("""COMPUTED_VALUE"""),"treatment")</f>
        <v>treatment</v>
      </c>
      <c r="D2829" s="1" t="str">
        <f>IFERROR(__xludf.DUMMYFUNCTION("""COMPUTED_VALUE"""),"new_page")</f>
        <v>new_page</v>
      </c>
      <c r="E2829" s="1">
        <f>IFERROR(__xludf.DUMMYFUNCTION("""COMPUTED_VALUE"""),0.0)</f>
        <v>0</v>
      </c>
    </row>
    <row r="2830">
      <c r="A2830" s="1">
        <f>IFERROR(__xludf.DUMMYFUNCTION("""COMPUTED_VALUE"""),935020.0)</f>
        <v>935020</v>
      </c>
      <c r="B2830" s="2">
        <f>IFERROR(__xludf.DUMMYFUNCTION("""COMPUTED_VALUE"""),42753.77254776767)</f>
        <v>42753.77255</v>
      </c>
      <c r="C2830" s="1" t="str">
        <f>IFERROR(__xludf.DUMMYFUNCTION("""COMPUTED_VALUE"""),"control")</f>
        <v>control</v>
      </c>
      <c r="D2830" s="1" t="str">
        <f>IFERROR(__xludf.DUMMYFUNCTION("""COMPUTED_VALUE"""),"old_page")</f>
        <v>old_page</v>
      </c>
      <c r="E2830" s="1">
        <f>IFERROR(__xludf.DUMMYFUNCTION("""COMPUTED_VALUE"""),0.0)</f>
        <v>0</v>
      </c>
    </row>
    <row r="2831">
      <c r="A2831" s="1">
        <f>IFERROR(__xludf.DUMMYFUNCTION("""COMPUTED_VALUE"""),838430.0)</f>
        <v>838430</v>
      </c>
      <c r="B2831" s="2">
        <f>IFERROR(__xludf.DUMMYFUNCTION("""COMPUTED_VALUE"""),42750.80139614491)</f>
        <v>42750.8014</v>
      </c>
      <c r="C2831" s="1" t="str">
        <f>IFERROR(__xludf.DUMMYFUNCTION("""COMPUTED_VALUE"""),"treatment")</f>
        <v>treatment</v>
      </c>
      <c r="D2831" s="1" t="str">
        <f>IFERROR(__xludf.DUMMYFUNCTION("""COMPUTED_VALUE"""),"new_page")</f>
        <v>new_page</v>
      </c>
      <c r="E2831" s="1">
        <f>IFERROR(__xludf.DUMMYFUNCTION("""COMPUTED_VALUE"""),0.0)</f>
        <v>0</v>
      </c>
    </row>
    <row r="2832">
      <c r="A2832" s="1">
        <f>IFERROR(__xludf.DUMMYFUNCTION("""COMPUTED_VALUE"""),682068.0)</f>
        <v>682068</v>
      </c>
      <c r="B2832" s="2">
        <f>IFERROR(__xludf.DUMMYFUNCTION("""COMPUTED_VALUE"""),42749.58772405697)</f>
        <v>42749.58772</v>
      </c>
      <c r="C2832" s="1" t="str">
        <f>IFERROR(__xludf.DUMMYFUNCTION("""COMPUTED_VALUE"""),"treatment")</f>
        <v>treatment</v>
      </c>
      <c r="D2832" s="1" t="str">
        <f>IFERROR(__xludf.DUMMYFUNCTION("""COMPUTED_VALUE"""),"new_page")</f>
        <v>new_page</v>
      </c>
      <c r="E2832" s="1">
        <f>IFERROR(__xludf.DUMMYFUNCTION("""COMPUTED_VALUE"""),0.0)</f>
        <v>0</v>
      </c>
    </row>
    <row r="2833">
      <c r="A2833" s="1">
        <f>IFERROR(__xludf.DUMMYFUNCTION("""COMPUTED_VALUE"""),859874.0)</f>
        <v>859874</v>
      </c>
      <c r="B2833" s="2">
        <f>IFERROR(__xludf.DUMMYFUNCTION("""COMPUTED_VALUE"""),42754.575459704676)</f>
        <v>42754.57546</v>
      </c>
      <c r="C2833" s="1" t="str">
        <f>IFERROR(__xludf.DUMMYFUNCTION("""COMPUTED_VALUE"""),"treatment")</f>
        <v>treatment</v>
      </c>
      <c r="D2833" s="1" t="str">
        <f>IFERROR(__xludf.DUMMYFUNCTION("""COMPUTED_VALUE"""),"new_page")</f>
        <v>new_page</v>
      </c>
      <c r="E2833" s="1">
        <f>IFERROR(__xludf.DUMMYFUNCTION("""COMPUTED_VALUE"""),1.0)</f>
        <v>1</v>
      </c>
    </row>
    <row r="2834">
      <c r="A2834" s="1">
        <f>IFERROR(__xludf.DUMMYFUNCTION("""COMPUTED_VALUE"""),807217.0)</f>
        <v>807217</v>
      </c>
      <c r="B2834" s="2">
        <f>IFERROR(__xludf.DUMMYFUNCTION("""COMPUTED_VALUE"""),42756.222422666506)</f>
        <v>42756.22242</v>
      </c>
      <c r="C2834" s="1" t="str">
        <f>IFERROR(__xludf.DUMMYFUNCTION("""COMPUTED_VALUE"""),"control")</f>
        <v>control</v>
      </c>
      <c r="D2834" s="1" t="str">
        <f>IFERROR(__xludf.DUMMYFUNCTION("""COMPUTED_VALUE"""),"old_page")</f>
        <v>old_page</v>
      </c>
      <c r="E2834" s="1">
        <f>IFERROR(__xludf.DUMMYFUNCTION("""COMPUTED_VALUE"""),0.0)</f>
        <v>0</v>
      </c>
    </row>
    <row r="2835">
      <c r="A2835" s="1">
        <f>IFERROR(__xludf.DUMMYFUNCTION("""COMPUTED_VALUE"""),656775.0)</f>
        <v>656775</v>
      </c>
      <c r="B2835" s="2">
        <f>IFERROR(__xludf.DUMMYFUNCTION("""COMPUTED_VALUE"""),42739.054352918436)</f>
        <v>42739.05435</v>
      </c>
      <c r="C2835" s="1" t="str">
        <f>IFERROR(__xludf.DUMMYFUNCTION("""COMPUTED_VALUE"""),"control")</f>
        <v>control</v>
      </c>
      <c r="D2835" s="1" t="str">
        <f>IFERROR(__xludf.DUMMYFUNCTION("""COMPUTED_VALUE"""),"old_page")</f>
        <v>old_page</v>
      </c>
      <c r="E2835" s="1">
        <f>IFERROR(__xludf.DUMMYFUNCTION("""COMPUTED_VALUE"""),0.0)</f>
        <v>0</v>
      </c>
    </row>
    <row r="2836">
      <c r="A2836" s="1">
        <f>IFERROR(__xludf.DUMMYFUNCTION("""COMPUTED_VALUE"""),841288.0)</f>
        <v>841288</v>
      </c>
      <c r="B2836" s="2">
        <f>IFERROR(__xludf.DUMMYFUNCTION("""COMPUTED_VALUE"""),42743.18707282406)</f>
        <v>42743.18707</v>
      </c>
      <c r="C2836" s="1" t="str">
        <f>IFERROR(__xludf.DUMMYFUNCTION("""COMPUTED_VALUE"""),"treatment")</f>
        <v>treatment</v>
      </c>
      <c r="D2836" s="1" t="str">
        <f>IFERROR(__xludf.DUMMYFUNCTION("""COMPUTED_VALUE"""),"new_page")</f>
        <v>new_page</v>
      </c>
      <c r="E2836" s="1">
        <f>IFERROR(__xludf.DUMMYFUNCTION("""COMPUTED_VALUE"""),1.0)</f>
        <v>1</v>
      </c>
    </row>
    <row r="2837">
      <c r="A2837" s="1">
        <f>IFERROR(__xludf.DUMMYFUNCTION("""COMPUTED_VALUE"""),648682.0)</f>
        <v>648682</v>
      </c>
      <c r="B2837" s="2">
        <f>IFERROR(__xludf.DUMMYFUNCTION("""COMPUTED_VALUE"""),42751.089544673036)</f>
        <v>42751.08954</v>
      </c>
      <c r="C2837" s="1" t="str">
        <f>IFERROR(__xludf.DUMMYFUNCTION("""COMPUTED_VALUE"""),"control")</f>
        <v>control</v>
      </c>
      <c r="D2837" s="1" t="str">
        <f>IFERROR(__xludf.DUMMYFUNCTION("""COMPUTED_VALUE"""),"old_page")</f>
        <v>old_page</v>
      </c>
      <c r="E2837" s="1">
        <f>IFERROR(__xludf.DUMMYFUNCTION("""COMPUTED_VALUE"""),0.0)</f>
        <v>0</v>
      </c>
    </row>
    <row r="2838">
      <c r="A2838" s="1">
        <f>IFERROR(__xludf.DUMMYFUNCTION("""COMPUTED_VALUE"""),928267.0)</f>
        <v>928267</v>
      </c>
      <c r="B2838" s="2">
        <f>IFERROR(__xludf.DUMMYFUNCTION("""COMPUTED_VALUE"""),42746.90665652344)</f>
        <v>42746.90666</v>
      </c>
      <c r="C2838" s="1" t="str">
        <f>IFERROR(__xludf.DUMMYFUNCTION("""COMPUTED_VALUE"""),"treatment")</f>
        <v>treatment</v>
      </c>
      <c r="D2838" s="1" t="str">
        <f>IFERROR(__xludf.DUMMYFUNCTION("""COMPUTED_VALUE"""),"new_page")</f>
        <v>new_page</v>
      </c>
      <c r="E2838" s="1">
        <f>IFERROR(__xludf.DUMMYFUNCTION("""COMPUTED_VALUE"""),0.0)</f>
        <v>0</v>
      </c>
    </row>
    <row r="2839">
      <c r="A2839" s="1">
        <f>IFERROR(__xludf.DUMMYFUNCTION("""COMPUTED_VALUE"""),694729.0)</f>
        <v>694729</v>
      </c>
      <c r="B2839" s="2">
        <f>IFERROR(__xludf.DUMMYFUNCTION("""COMPUTED_VALUE"""),42743.822620615545)</f>
        <v>42743.82262</v>
      </c>
      <c r="C2839" s="1" t="str">
        <f>IFERROR(__xludf.DUMMYFUNCTION("""COMPUTED_VALUE"""),"control")</f>
        <v>control</v>
      </c>
      <c r="D2839" s="1" t="str">
        <f>IFERROR(__xludf.DUMMYFUNCTION("""COMPUTED_VALUE"""),"old_page")</f>
        <v>old_page</v>
      </c>
      <c r="E2839" s="1">
        <f>IFERROR(__xludf.DUMMYFUNCTION("""COMPUTED_VALUE"""),0.0)</f>
        <v>0</v>
      </c>
    </row>
    <row r="2840">
      <c r="A2840" s="1">
        <f>IFERROR(__xludf.DUMMYFUNCTION("""COMPUTED_VALUE"""),793227.0)</f>
        <v>793227</v>
      </c>
      <c r="B2840" s="2">
        <f>IFERROR(__xludf.DUMMYFUNCTION("""COMPUTED_VALUE"""),42743.495913394436)</f>
        <v>42743.49591</v>
      </c>
      <c r="C2840" s="1" t="str">
        <f>IFERROR(__xludf.DUMMYFUNCTION("""COMPUTED_VALUE"""),"control")</f>
        <v>control</v>
      </c>
      <c r="D2840" s="1" t="str">
        <f>IFERROR(__xludf.DUMMYFUNCTION("""COMPUTED_VALUE"""),"old_page")</f>
        <v>old_page</v>
      </c>
      <c r="E2840" s="1">
        <f>IFERROR(__xludf.DUMMYFUNCTION("""COMPUTED_VALUE"""),0.0)</f>
        <v>0</v>
      </c>
    </row>
    <row r="2841">
      <c r="A2841" s="1">
        <f>IFERROR(__xludf.DUMMYFUNCTION("""COMPUTED_VALUE"""),780587.0)</f>
        <v>780587</v>
      </c>
      <c r="B2841" s="2">
        <f>IFERROR(__xludf.DUMMYFUNCTION("""COMPUTED_VALUE"""),42740.93107964659)</f>
        <v>42740.93108</v>
      </c>
      <c r="C2841" s="1" t="str">
        <f>IFERROR(__xludf.DUMMYFUNCTION("""COMPUTED_VALUE"""),"treatment")</f>
        <v>treatment</v>
      </c>
      <c r="D2841" s="1" t="str">
        <f>IFERROR(__xludf.DUMMYFUNCTION("""COMPUTED_VALUE"""),"new_page")</f>
        <v>new_page</v>
      </c>
      <c r="E2841" s="1">
        <f>IFERROR(__xludf.DUMMYFUNCTION("""COMPUTED_VALUE"""),0.0)</f>
        <v>0</v>
      </c>
    </row>
    <row r="2842">
      <c r="A2842" s="1">
        <f>IFERROR(__xludf.DUMMYFUNCTION("""COMPUTED_VALUE"""),925657.0)</f>
        <v>925657</v>
      </c>
      <c r="B2842" s="2">
        <f>IFERROR(__xludf.DUMMYFUNCTION("""COMPUTED_VALUE"""),42749.48871177619)</f>
        <v>42749.48871</v>
      </c>
      <c r="C2842" s="1" t="str">
        <f>IFERROR(__xludf.DUMMYFUNCTION("""COMPUTED_VALUE"""),"treatment")</f>
        <v>treatment</v>
      </c>
      <c r="D2842" s="1" t="str">
        <f>IFERROR(__xludf.DUMMYFUNCTION("""COMPUTED_VALUE"""),"new_page")</f>
        <v>new_page</v>
      </c>
      <c r="E2842" s="1">
        <f>IFERROR(__xludf.DUMMYFUNCTION("""COMPUTED_VALUE"""),0.0)</f>
        <v>0</v>
      </c>
    </row>
    <row r="2843">
      <c r="A2843" s="1">
        <f>IFERROR(__xludf.DUMMYFUNCTION("""COMPUTED_VALUE"""),711590.0)</f>
        <v>711590</v>
      </c>
      <c r="B2843" s="2">
        <f>IFERROR(__xludf.DUMMYFUNCTION("""COMPUTED_VALUE"""),42740.83494927688)</f>
        <v>42740.83495</v>
      </c>
      <c r="C2843" s="1" t="str">
        <f>IFERROR(__xludf.DUMMYFUNCTION("""COMPUTED_VALUE"""),"control")</f>
        <v>control</v>
      </c>
      <c r="D2843" s="1" t="str">
        <f>IFERROR(__xludf.DUMMYFUNCTION("""COMPUTED_VALUE"""),"old_page")</f>
        <v>old_page</v>
      </c>
      <c r="E2843" s="1">
        <f>IFERROR(__xludf.DUMMYFUNCTION("""COMPUTED_VALUE"""),0.0)</f>
        <v>0</v>
      </c>
    </row>
    <row r="2844">
      <c r="A2844" s="1">
        <f>IFERROR(__xludf.DUMMYFUNCTION("""COMPUTED_VALUE"""),698882.0)</f>
        <v>698882</v>
      </c>
      <c r="B2844" s="2">
        <f>IFERROR(__xludf.DUMMYFUNCTION("""COMPUTED_VALUE"""),42754.031267556806)</f>
        <v>42754.03127</v>
      </c>
      <c r="C2844" s="1" t="str">
        <f>IFERROR(__xludf.DUMMYFUNCTION("""COMPUTED_VALUE"""),"treatment")</f>
        <v>treatment</v>
      </c>
      <c r="D2844" s="1" t="str">
        <f>IFERROR(__xludf.DUMMYFUNCTION("""COMPUTED_VALUE"""),"new_page")</f>
        <v>new_page</v>
      </c>
      <c r="E2844" s="1">
        <f>IFERROR(__xludf.DUMMYFUNCTION("""COMPUTED_VALUE"""),0.0)</f>
        <v>0</v>
      </c>
    </row>
    <row r="2845">
      <c r="A2845" s="1">
        <f>IFERROR(__xludf.DUMMYFUNCTION("""COMPUTED_VALUE"""),690761.0)</f>
        <v>690761</v>
      </c>
      <c r="B2845" s="2">
        <f>IFERROR(__xludf.DUMMYFUNCTION("""COMPUTED_VALUE"""),42738.838221436345)</f>
        <v>42738.83822</v>
      </c>
      <c r="C2845" s="1" t="str">
        <f>IFERROR(__xludf.DUMMYFUNCTION("""COMPUTED_VALUE"""),"treatment")</f>
        <v>treatment</v>
      </c>
      <c r="D2845" s="1" t="str">
        <f>IFERROR(__xludf.DUMMYFUNCTION("""COMPUTED_VALUE"""),"new_page")</f>
        <v>new_page</v>
      </c>
      <c r="E2845" s="1">
        <f>IFERROR(__xludf.DUMMYFUNCTION("""COMPUTED_VALUE"""),0.0)</f>
        <v>0</v>
      </c>
    </row>
    <row r="2846">
      <c r="A2846" s="1">
        <f>IFERROR(__xludf.DUMMYFUNCTION("""COMPUTED_VALUE"""),873874.0)</f>
        <v>873874</v>
      </c>
      <c r="B2846" s="2">
        <f>IFERROR(__xludf.DUMMYFUNCTION("""COMPUTED_VALUE"""),42752.75721105481)</f>
        <v>42752.75721</v>
      </c>
      <c r="C2846" s="1" t="str">
        <f>IFERROR(__xludf.DUMMYFUNCTION("""COMPUTED_VALUE"""),"treatment")</f>
        <v>treatment</v>
      </c>
      <c r="D2846" s="1" t="str">
        <f>IFERROR(__xludf.DUMMYFUNCTION("""COMPUTED_VALUE"""),"new_page")</f>
        <v>new_page</v>
      </c>
      <c r="E2846" s="1">
        <f>IFERROR(__xludf.DUMMYFUNCTION("""COMPUTED_VALUE"""),0.0)</f>
        <v>0</v>
      </c>
    </row>
    <row r="2847">
      <c r="A2847" s="1">
        <f>IFERROR(__xludf.DUMMYFUNCTION("""COMPUTED_VALUE"""),884397.0)</f>
        <v>884397</v>
      </c>
      <c r="B2847" s="2">
        <f>IFERROR(__xludf.DUMMYFUNCTION("""COMPUTED_VALUE"""),42751.772312033856)</f>
        <v>42751.77231</v>
      </c>
      <c r="C2847" s="1" t="str">
        <f>IFERROR(__xludf.DUMMYFUNCTION("""COMPUTED_VALUE"""),"control")</f>
        <v>control</v>
      </c>
      <c r="D2847" s="1" t="str">
        <f>IFERROR(__xludf.DUMMYFUNCTION("""COMPUTED_VALUE"""),"old_page")</f>
        <v>old_page</v>
      </c>
      <c r="E2847" s="1">
        <f>IFERROR(__xludf.DUMMYFUNCTION("""COMPUTED_VALUE"""),0.0)</f>
        <v>0</v>
      </c>
    </row>
    <row r="2848">
      <c r="A2848" s="1">
        <f>IFERROR(__xludf.DUMMYFUNCTION("""COMPUTED_VALUE"""),727239.0)</f>
        <v>727239</v>
      </c>
      <c r="B2848" s="2">
        <f>IFERROR(__xludf.DUMMYFUNCTION("""COMPUTED_VALUE"""),42741.78324703117)</f>
        <v>42741.78325</v>
      </c>
      <c r="C2848" s="1" t="str">
        <f>IFERROR(__xludf.DUMMYFUNCTION("""COMPUTED_VALUE"""),"control")</f>
        <v>control</v>
      </c>
      <c r="D2848" s="1" t="str">
        <f>IFERROR(__xludf.DUMMYFUNCTION("""COMPUTED_VALUE"""),"old_page")</f>
        <v>old_page</v>
      </c>
      <c r="E2848" s="1">
        <f>IFERROR(__xludf.DUMMYFUNCTION("""COMPUTED_VALUE"""),0.0)</f>
        <v>0</v>
      </c>
    </row>
    <row r="2849">
      <c r="A2849" s="1">
        <f>IFERROR(__xludf.DUMMYFUNCTION("""COMPUTED_VALUE"""),800177.0)</f>
        <v>800177</v>
      </c>
      <c r="B2849" s="2">
        <f>IFERROR(__xludf.DUMMYFUNCTION("""COMPUTED_VALUE"""),42755.79819832496)</f>
        <v>42755.7982</v>
      </c>
      <c r="C2849" s="1" t="str">
        <f>IFERROR(__xludf.DUMMYFUNCTION("""COMPUTED_VALUE"""),"control")</f>
        <v>control</v>
      </c>
      <c r="D2849" s="1" t="str">
        <f>IFERROR(__xludf.DUMMYFUNCTION("""COMPUTED_VALUE"""),"old_page")</f>
        <v>old_page</v>
      </c>
      <c r="E2849" s="1">
        <f>IFERROR(__xludf.DUMMYFUNCTION("""COMPUTED_VALUE"""),0.0)</f>
        <v>0</v>
      </c>
    </row>
    <row r="2850">
      <c r="A2850" s="1">
        <f>IFERROR(__xludf.DUMMYFUNCTION("""COMPUTED_VALUE"""),647490.0)</f>
        <v>647490</v>
      </c>
      <c r="B2850" s="2">
        <f>IFERROR(__xludf.DUMMYFUNCTION("""COMPUTED_VALUE"""),42741.97907095978)</f>
        <v>42741.97907</v>
      </c>
      <c r="C2850" s="1" t="str">
        <f>IFERROR(__xludf.DUMMYFUNCTION("""COMPUTED_VALUE"""),"treatment")</f>
        <v>treatment</v>
      </c>
      <c r="D2850" s="1" t="str">
        <f>IFERROR(__xludf.DUMMYFUNCTION("""COMPUTED_VALUE"""),"new_page")</f>
        <v>new_page</v>
      </c>
      <c r="E2850" s="1">
        <f>IFERROR(__xludf.DUMMYFUNCTION("""COMPUTED_VALUE"""),1.0)</f>
        <v>1</v>
      </c>
    </row>
    <row r="2851">
      <c r="A2851" s="1">
        <f>IFERROR(__xludf.DUMMYFUNCTION("""COMPUTED_VALUE"""),811938.0)</f>
        <v>811938</v>
      </c>
      <c r="B2851" s="2">
        <f>IFERROR(__xludf.DUMMYFUNCTION("""COMPUTED_VALUE"""),42750.958042393875)</f>
        <v>42750.95804</v>
      </c>
      <c r="C2851" s="1" t="str">
        <f>IFERROR(__xludf.DUMMYFUNCTION("""COMPUTED_VALUE"""),"treatment")</f>
        <v>treatment</v>
      </c>
      <c r="D2851" s="1" t="str">
        <f>IFERROR(__xludf.DUMMYFUNCTION("""COMPUTED_VALUE"""),"new_page")</f>
        <v>new_page</v>
      </c>
      <c r="E2851" s="1">
        <f>IFERROR(__xludf.DUMMYFUNCTION("""COMPUTED_VALUE"""),0.0)</f>
        <v>0</v>
      </c>
    </row>
    <row r="2852">
      <c r="A2852" s="1">
        <f>IFERROR(__xludf.DUMMYFUNCTION("""COMPUTED_VALUE"""),737414.0)</f>
        <v>737414</v>
      </c>
      <c r="B2852" s="2">
        <f>IFERROR(__xludf.DUMMYFUNCTION("""COMPUTED_VALUE"""),42740.348990796934)</f>
        <v>42740.34899</v>
      </c>
      <c r="C2852" s="1" t="str">
        <f>IFERROR(__xludf.DUMMYFUNCTION("""COMPUTED_VALUE"""),"treatment")</f>
        <v>treatment</v>
      </c>
      <c r="D2852" s="1" t="str">
        <f>IFERROR(__xludf.DUMMYFUNCTION("""COMPUTED_VALUE"""),"new_page")</f>
        <v>new_page</v>
      </c>
      <c r="E2852" s="1">
        <f>IFERROR(__xludf.DUMMYFUNCTION("""COMPUTED_VALUE"""),0.0)</f>
        <v>0</v>
      </c>
    </row>
    <row r="2853">
      <c r="A2853" s="1">
        <f>IFERROR(__xludf.DUMMYFUNCTION("""COMPUTED_VALUE"""),781179.0)</f>
        <v>781179</v>
      </c>
      <c r="B2853" s="2">
        <f>IFERROR(__xludf.DUMMYFUNCTION("""COMPUTED_VALUE"""),42741.14793766362)</f>
        <v>42741.14794</v>
      </c>
      <c r="C2853" s="1" t="str">
        <f>IFERROR(__xludf.DUMMYFUNCTION("""COMPUTED_VALUE"""),"treatment")</f>
        <v>treatment</v>
      </c>
      <c r="D2853" s="1" t="str">
        <f>IFERROR(__xludf.DUMMYFUNCTION("""COMPUTED_VALUE"""),"new_page")</f>
        <v>new_page</v>
      </c>
      <c r="E2853" s="1">
        <f>IFERROR(__xludf.DUMMYFUNCTION("""COMPUTED_VALUE"""),0.0)</f>
        <v>0</v>
      </c>
    </row>
    <row r="2854">
      <c r="A2854" s="1">
        <f>IFERROR(__xludf.DUMMYFUNCTION("""COMPUTED_VALUE"""),658892.0)</f>
        <v>658892</v>
      </c>
      <c r="B2854" s="2">
        <f>IFERROR(__xludf.DUMMYFUNCTION("""COMPUTED_VALUE"""),42750.76333117704)</f>
        <v>42750.76333</v>
      </c>
      <c r="C2854" s="1" t="str">
        <f>IFERROR(__xludf.DUMMYFUNCTION("""COMPUTED_VALUE"""),"treatment")</f>
        <v>treatment</v>
      </c>
      <c r="D2854" s="1" t="str">
        <f>IFERROR(__xludf.DUMMYFUNCTION("""COMPUTED_VALUE"""),"new_page")</f>
        <v>new_page</v>
      </c>
      <c r="E2854" s="1">
        <f>IFERROR(__xludf.DUMMYFUNCTION("""COMPUTED_VALUE"""),0.0)</f>
        <v>0</v>
      </c>
    </row>
    <row r="2855">
      <c r="A2855" s="1">
        <f>IFERROR(__xludf.DUMMYFUNCTION("""COMPUTED_VALUE"""),791120.0)</f>
        <v>791120</v>
      </c>
      <c r="B2855" s="2">
        <f>IFERROR(__xludf.DUMMYFUNCTION("""COMPUTED_VALUE"""),42754.33483713247)</f>
        <v>42754.33484</v>
      </c>
      <c r="C2855" s="1" t="str">
        <f>IFERROR(__xludf.DUMMYFUNCTION("""COMPUTED_VALUE"""),"treatment")</f>
        <v>treatment</v>
      </c>
      <c r="D2855" s="1" t="str">
        <f>IFERROR(__xludf.DUMMYFUNCTION("""COMPUTED_VALUE"""),"new_page")</f>
        <v>new_page</v>
      </c>
      <c r="E2855" s="1">
        <f>IFERROR(__xludf.DUMMYFUNCTION("""COMPUTED_VALUE"""),0.0)</f>
        <v>0</v>
      </c>
    </row>
    <row r="2856">
      <c r="A2856" s="1">
        <f>IFERROR(__xludf.DUMMYFUNCTION("""COMPUTED_VALUE"""),733209.0)</f>
        <v>733209</v>
      </c>
      <c r="B2856" s="2">
        <f>IFERROR(__xludf.DUMMYFUNCTION("""COMPUTED_VALUE"""),42747.09715881721)</f>
        <v>42747.09716</v>
      </c>
      <c r="C2856" s="1" t="str">
        <f>IFERROR(__xludf.DUMMYFUNCTION("""COMPUTED_VALUE"""),"control")</f>
        <v>control</v>
      </c>
      <c r="D2856" s="1" t="str">
        <f>IFERROR(__xludf.DUMMYFUNCTION("""COMPUTED_VALUE"""),"old_page")</f>
        <v>old_page</v>
      </c>
      <c r="E2856" s="1">
        <f>IFERROR(__xludf.DUMMYFUNCTION("""COMPUTED_VALUE"""),0.0)</f>
        <v>0</v>
      </c>
    </row>
    <row r="2857">
      <c r="A2857" s="1">
        <f>IFERROR(__xludf.DUMMYFUNCTION("""COMPUTED_VALUE"""),937734.0)</f>
        <v>937734</v>
      </c>
      <c r="B2857" s="2">
        <f>IFERROR(__xludf.DUMMYFUNCTION("""COMPUTED_VALUE"""),42752.63253514641)</f>
        <v>42752.63254</v>
      </c>
      <c r="C2857" s="1" t="str">
        <f>IFERROR(__xludf.DUMMYFUNCTION("""COMPUTED_VALUE"""),"treatment")</f>
        <v>treatment</v>
      </c>
      <c r="D2857" s="1" t="str">
        <f>IFERROR(__xludf.DUMMYFUNCTION("""COMPUTED_VALUE"""),"new_page")</f>
        <v>new_page</v>
      </c>
      <c r="E2857" s="1">
        <f>IFERROR(__xludf.DUMMYFUNCTION("""COMPUTED_VALUE"""),0.0)</f>
        <v>0</v>
      </c>
    </row>
    <row r="2858">
      <c r="A2858" s="1">
        <f>IFERROR(__xludf.DUMMYFUNCTION("""COMPUTED_VALUE"""),841286.0)</f>
        <v>841286</v>
      </c>
      <c r="B2858" s="2">
        <f>IFERROR(__xludf.DUMMYFUNCTION("""COMPUTED_VALUE"""),42745.573723053596)</f>
        <v>42745.57372</v>
      </c>
      <c r="C2858" s="1" t="str">
        <f>IFERROR(__xludf.DUMMYFUNCTION("""COMPUTED_VALUE"""),"treatment")</f>
        <v>treatment</v>
      </c>
      <c r="D2858" s="1" t="str">
        <f>IFERROR(__xludf.DUMMYFUNCTION("""COMPUTED_VALUE"""),"new_page")</f>
        <v>new_page</v>
      </c>
      <c r="E2858" s="1">
        <f>IFERROR(__xludf.DUMMYFUNCTION("""COMPUTED_VALUE"""),0.0)</f>
        <v>0</v>
      </c>
    </row>
    <row r="2859">
      <c r="A2859" s="1">
        <f>IFERROR(__xludf.DUMMYFUNCTION("""COMPUTED_VALUE"""),738999.0)</f>
        <v>738999</v>
      </c>
      <c r="B2859" s="2">
        <f>IFERROR(__xludf.DUMMYFUNCTION("""COMPUTED_VALUE"""),42743.64022349492)</f>
        <v>42743.64022</v>
      </c>
      <c r="C2859" s="1" t="str">
        <f>IFERROR(__xludf.DUMMYFUNCTION("""COMPUTED_VALUE"""),"control")</f>
        <v>control</v>
      </c>
      <c r="D2859" s="1" t="str">
        <f>IFERROR(__xludf.DUMMYFUNCTION("""COMPUTED_VALUE"""),"new_page")</f>
        <v>new_page</v>
      </c>
      <c r="E2859" s="1">
        <f>IFERROR(__xludf.DUMMYFUNCTION("""COMPUTED_VALUE"""),0.0)</f>
        <v>0</v>
      </c>
    </row>
    <row r="2860">
      <c r="A2860" s="1">
        <f>IFERROR(__xludf.DUMMYFUNCTION("""COMPUTED_VALUE"""),644135.0)</f>
        <v>644135</v>
      </c>
      <c r="B2860" s="2">
        <f>IFERROR(__xludf.DUMMYFUNCTION("""COMPUTED_VALUE"""),42742.89439063332)</f>
        <v>42742.89439</v>
      </c>
      <c r="C2860" s="1" t="str">
        <f>IFERROR(__xludf.DUMMYFUNCTION("""COMPUTED_VALUE"""),"treatment")</f>
        <v>treatment</v>
      </c>
      <c r="D2860" s="1" t="str">
        <f>IFERROR(__xludf.DUMMYFUNCTION("""COMPUTED_VALUE"""),"new_page")</f>
        <v>new_page</v>
      </c>
      <c r="E2860" s="1">
        <f>IFERROR(__xludf.DUMMYFUNCTION("""COMPUTED_VALUE"""),0.0)</f>
        <v>0</v>
      </c>
    </row>
    <row r="2861">
      <c r="A2861" s="1">
        <f>IFERROR(__xludf.DUMMYFUNCTION("""COMPUTED_VALUE"""),811888.0)</f>
        <v>811888</v>
      </c>
      <c r="B2861" s="2">
        <f>IFERROR(__xludf.DUMMYFUNCTION("""COMPUTED_VALUE"""),42749.008227819504)</f>
        <v>42749.00823</v>
      </c>
      <c r="C2861" s="1" t="str">
        <f>IFERROR(__xludf.DUMMYFUNCTION("""COMPUTED_VALUE"""),"control")</f>
        <v>control</v>
      </c>
      <c r="D2861" s="1" t="str">
        <f>IFERROR(__xludf.DUMMYFUNCTION("""COMPUTED_VALUE"""),"old_page")</f>
        <v>old_page</v>
      </c>
      <c r="E2861" s="1">
        <f>IFERROR(__xludf.DUMMYFUNCTION("""COMPUTED_VALUE"""),1.0)</f>
        <v>1</v>
      </c>
    </row>
    <row r="2862">
      <c r="A2862" s="1">
        <f>IFERROR(__xludf.DUMMYFUNCTION("""COMPUTED_VALUE"""),869395.0)</f>
        <v>869395</v>
      </c>
      <c r="B2862" s="2">
        <f>IFERROR(__xludf.DUMMYFUNCTION("""COMPUTED_VALUE"""),42740.844036458206)</f>
        <v>42740.84404</v>
      </c>
      <c r="C2862" s="1" t="str">
        <f>IFERROR(__xludf.DUMMYFUNCTION("""COMPUTED_VALUE"""),"treatment")</f>
        <v>treatment</v>
      </c>
      <c r="D2862" s="1" t="str">
        <f>IFERROR(__xludf.DUMMYFUNCTION("""COMPUTED_VALUE"""),"new_page")</f>
        <v>new_page</v>
      </c>
      <c r="E2862" s="1">
        <f>IFERROR(__xludf.DUMMYFUNCTION("""COMPUTED_VALUE"""),0.0)</f>
        <v>0</v>
      </c>
    </row>
    <row r="2863">
      <c r="A2863" s="1">
        <f>IFERROR(__xludf.DUMMYFUNCTION("""COMPUTED_VALUE"""),714453.0)</f>
        <v>714453</v>
      </c>
      <c r="B2863" s="2">
        <f>IFERROR(__xludf.DUMMYFUNCTION("""COMPUTED_VALUE"""),42752.56683978771)</f>
        <v>42752.56684</v>
      </c>
      <c r="C2863" s="1" t="str">
        <f>IFERROR(__xludf.DUMMYFUNCTION("""COMPUTED_VALUE"""),"control")</f>
        <v>control</v>
      </c>
      <c r="D2863" s="1" t="str">
        <f>IFERROR(__xludf.DUMMYFUNCTION("""COMPUTED_VALUE"""),"old_page")</f>
        <v>old_page</v>
      </c>
      <c r="E2863" s="1">
        <f>IFERROR(__xludf.DUMMYFUNCTION("""COMPUTED_VALUE"""),0.0)</f>
        <v>0</v>
      </c>
    </row>
    <row r="2864">
      <c r="A2864" s="1">
        <f>IFERROR(__xludf.DUMMYFUNCTION("""COMPUTED_VALUE"""),863880.0)</f>
        <v>863880</v>
      </c>
      <c r="B2864" s="2">
        <f>IFERROR(__xludf.DUMMYFUNCTION("""COMPUTED_VALUE"""),42749.939012580035)</f>
        <v>42749.93901</v>
      </c>
      <c r="C2864" s="1" t="str">
        <f>IFERROR(__xludf.DUMMYFUNCTION("""COMPUTED_VALUE"""),"treatment")</f>
        <v>treatment</v>
      </c>
      <c r="D2864" s="1" t="str">
        <f>IFERROR(__xludf.DUMMYFUNCTION("""COMPUTED_VALUE"""),"new_page")</f>
        <v>new_page</v>
      </c>
      <c r="E2864" s="1">
        <f>IFERROR(__xludf.DUMMYFUNCTION("""COMPUTED_VALUE"""),0.0)</f>
        <v>0</v>
      </c>
    </row>
    <row r="2865">
      <c r="A2865" s="1">
        <f>IFERROR(__xludf.DUMMYFUNCTION("""COMPUTED_VALUE"""),842710.0)</f>
        <v>842710</v>
      </c>
      <c r="B2865" s="2">
        <f>IFERROR(__xludf.DUMMYFUNCTION("""COMPUTED_VALUE"""),42754.682659845246)</f>
        <v>42754.68266</v>
      </c>
      <c r="C2865" s="1" t="str">
        <f>IFERROR(__xludf.DUMMYFUNCTION("""COMPUTED_VALUE"""),"control")</f>
        <v>control</v>
      </c>
      <c r="D2865" s="1" t="str">
        <f>IFERROR(__xludf.DUMMYFUNCTION("""COMPUTED_VALUE"""),"old_page")</f>
        <v>old_page</v>
      </c>
      <c r="E2865" s="1">
        <f>IFERROR(__xludf.DUMMYFUNCTION("""COMPUTED_VALUE"""),0.0)</f>
        <v>0</v>
      </c>
    </row>
    <row r="2866">
      <c r="A2866" s="1">
        <f>IFERROR(__xludf.DUMMYFUNCTION("""COMPUTED_VALUE"""),834606.0)</f>
        <v>834606</v>
      </c>
      <c r="B2866" s="2">
        <f>IFERROR(__xludf.DUMMYFUNCTION("""COMPUTED_VALUE"""),42738.158557117604)</f>
        <v>42738.15856</v>
      </c>
      <c r="C2866" s="1" t="str">
        <f>IFERROR(__xludf.DUMMYFUNCTION("""COMPUTED_VALUE"""),"control")</f>
        <v>control</v>
      </c>
      <c r="D2866" s="1" t="str">
        <f>IFERROR(__xludf.DUMMYFUNCTION("""COMPUTED_VALUE"""),"old_page")</f>
        <v>old_page</v>
      </c>
      <c r="E2866" s="1">
        <f>IFERROR(__xludf.DUMMYFUNCTION("""COMPUTED_VALUE"""),0.0)</f>
        <v>0</v>
      </c>
    </row>
    <row r="2867">
      <c r="A2867" s="1">
        <f>IFERROR(__xludf.DUMMYFUNCTION("""COMPUTED_VALUE"""),661163.0)</f>
        <v>661163</v>
      </c>
      <c r="B2867" s="2">
        <f>IFERROR(__xludf.DUMMYFUNCTION("""COMPUTED_VALUE"""),42758.20240224259)</f>
        <v>42758.2024</v>
      </c>
      <c r="C2867" s="1" t="str">
        <f>IFERROR(__xludf.DUMMYFUNCTION("""COMPUTED_VALUE"""),"treatment")</f>
        <v>treatment</v>
      </c>
      <c r="D2867" s="1" t="str">
        <f>IFERROR(__xludf.DUMMYFUNCTION("""COMPUTED_VALUE"""),"new_page")</f>
        <v>new_page</v>
      </c>
      <c r="E2867" s="1">
        <f>IFERROR(__xludf.DUMMYFUNCTION("""COMPUTED_VALUE"""),0.0)</f>
        <v>0</v>
      </c>
    </row>
    <row r="2868">
      <c r="A2868" s="1">
        <f>IFERROR(__xludf.DUMMYFUNCTION("""COMPUTED_VALUE"""),705234.0)</f>
        <v>705234</v>
      </c>
      <c r="B2868" s="2">
        <f>IFERROR(__xludf.DUMMYFUNCTION("""COMPUTED_VALUE"""),42738.98812168086)</f>
        <v>42738.98812</v>
      </c>
      <c r="C2868" s="1" t="str">
        <f>IFERROR(__xludf.DUMMYFUNCTION("""COMPUTED_VALUE"""),"control")</f>
        <v>control</v>
      </c>
      <c r="D2868" s="1" t="str">
        <f>IFERROR(__xludf.DUMMYFUNCTION("""COMPUTED_VALUE"""),"old_page")</f>
        <v>old_page</v>
      </c>
      <c r="E2868" s="1">
        <f>IFERROR(__xludf.DUMMYFUNCTION("""COMPUTED_VALUE"""),0.0)</f>
        <v>0</v>
      </c>
    </row>
    <row r="2869">
      <c r="A2869" s="1">
        <f>IFERROR(__xludf.DUMMYFUNCTION("""COMPUTED_VALUE"""),632861.0)</f>
        <v>632861</v>
      </c>
      <c r="B2869" s="2">
        <f>IFERROR(__xludf.DUMMYFUNCTION("""COMPUTED_VALUE"""),42751.00208989508)</f>
        <v>42751.00209</v>
      </c>
      <c r="C2869" s="1" t="str">
        <f>IFERROR(__xludf.DUMMYFUNCTION("""COMPUTED_VALUE"""),"treatment")</f>
        <v>treatment</v>
      </c>
      <c r="D2869" s="1" t="str">
        <f>IFERROR(__xludf.DUMMYFUNCTION("""COMPUTED_VALUE"""),"new_page")</f>
        <v>new_page</v>
      </c>
      <c r="E2869" s="1">
        <f>IFERROR(__xludf.DUMMYFUNCTION("""COMPUTED_VALUE"""),0.0)</f>
        <v>0</v>
      </c>
    </row>
    <row r="2870">
      <c r="A2870" s="1">
        <f>IFERROR(__xludf.DUMMYFUNCTION("""COMPUTED_VALUE"""),782423.0)</f>
        <v>782423</v>
      </c>
      <c r="B2870" s="2">
        <f>IFERROR(__xludf.DUMMYFUNCTION("""COMPUTED_VALUE"""),42745.15089680499)</f>
        <v>42745.1509</v>
      </c>
      <c r="C2870" s="1" t="str">
        <f>IFERROR(__xludf.DUMMYFUNCTION("""COMPUTED_VALUE"""),"control")</f>
        <v>control</v>
      </c>
      <c r="D2870" s="1" t="str">
        <f>IFERROR(__xludf.DUMMYFUNCTION("""COMPUTED_VALUE"""),"old_page")</f>
        <v>old_page</v>
      </c>
      <c r="E2870" s="1">
        <f>IFERROR(__xludf.DUMMYFUNCTION("""COMPUTED_VALUE"""),0.0)</f>
        <v>0</v>
      </c>
    </row>
    <row r="2871">
      <c r="A2871" s="1">
        <f>IFERROR(__xludf.DUMMYFUNCTION("""COMPUTED_VALUE"""),756250.0)</f>
        <v>756250</v>
      </c>
      <c r="B2871" s="2">
        <f>IFERROR(__xludf.DUMMYFUNCTION("""COMPUTED_VALUE"""),42756.59506026156)</f>
        <v>42756.59506</v>
      </c>
      <c r="C2871" s="1" t="str">
        <f>IFERROR(__xludf.DUMMYFUNCTION("""COMPUTED_VALUE"""),"control")</f>
        <v>control</v>
      </c>
      <c r="D2871" s="1" t="str">
        <f>IFERROR(__xludf.DUMMYFUNCTION("""COMPUTED_VALUE"""),"old_page")</f>
        <v>old_page</v>
      </c>
      <c r="E2871" s="1">
        <f>IFERROR(__xludf.DUMMYFUNCTION("""COMPUTED_VALUE"""),1.0)</f>
        <v>1</v>
      </c>
    </row>
    <row r="2872">
      <c r="A2872" s="1">
        <f>IFERROR(__xludf.DUMMYFUNCTION("""COMPUTED_VALUE"""),895005.0)</f>
        <v>895005</v>
      </c>
      <c r="B2872" s="2">
        <f>IFERROR(__xludf.DUMMYFUNCTION("""COMPUTED_VALUE"""),42751.28409765849)</f>
        <v>42751.2841</v>
      </c>
      <c r="C2872" s="1" t="str">
        <f>IFERROR(__xludf.DUMMYFUNCTION("""COMPUTED_VALUE"""),"control")</f>
        <v>control</v>
      </c>
      <c r="D2872" s="1" t="str">
        <f>IFERROR(__xludf.DUMMYFUNCTION("""COMPUTED_VALUE"""),"old_page")</f>
        <v>old_page</v>
      </c>
      <c r="E2872" s="1">
        <f>IFERROR(__xludf.DUMMYFUNCTION("""COMPUTED_VALUE"""),0.0)</f>
        <v>0</v>
      </c>
    </row>
    <row r="2873">
      <c r="A2873" s="1">
        <f>IFERROR(__xludf.DUMMYFUNCTION("""COMPUTED_VALUE"""),793024.0)</f>
        <v>793024</v>
      </c>
      <c r="B2873" s="2">
        <f>IFERROR(__xludf.DUMMYFUNCTION("""COMPUTED_VALUE"""),42753.05913472348)</f>
        <v>42753.05913</v>
      </c>
      <c r="C2873" s="1" t="str">
        <f>IFERROR(__xludf.DUMMYFUNCTION("""COMPUTED_VALUE"""),"control")</f>
        <v>control</v>
      </c>
      <c r="D2873" s="1" t="str">
        <f>IFERROR(__xludf.DUMMYFUNCTION("""COMPUTED_VALUE"""),"old_page")</f>
        <v>old_page</v>
      </c>
      <c r="E2873" s="1">
        <f>IFERROR(__xludf.DUMMYFUNCTION("""COMPUTED_VALUE"""),0.0)</f>
        <v>0</v>
      </c>
    </row>
    <row r="2874">
      <c r="A2874" s="1">
        <f>IFERROR(__xludf.DUMMYFUNCTION("""COMPUTED_VALUE"""),801033.0)</f>
        <v>801033</v>
      </c>
      <c r="B2874" s="2">
        <f>IFERROR(__xludf.DUMMYFUNCTION("""COMPUTED_VALUE"""),42747.01889586036)</f>
        <v>42747.0189</v>
      </c>
      <c r="C2874" s="1" t="str">
        <f>IFERROR(__xludf.DUMMYFUNCTION("""COMPUTED_VALUE"""),"treatment")</f>
        <v>treatment</v>
      </c>
      <c r="D2874" s="1" t="str">
        <f>IFERROR(__xludf.DUMMYFUNCTION("""COMPUTED_VALUE"""),"new_page")</f>
        <v>new_page</v>
      </c>
      <c r="E2874" s="1">
        <f>IFERROR(__xludf.DUMMYFUNCTION("""COMPUTED_VALUE"""),0.0)</f>
        <v>0</v>
      </c>
    </row>
    <row r="2875">
      <c r="A2875" s="1">
        <f>IFERROR(__xludf.DUMMYFUNCTION("""COMPUTED_VALUE"""),804861.0)</f>
        <v>804861</v>
      </c>
      <c r="B2875" s="2">
        <f>IFERROR(__xludf.DUMMYFUNCTION("""COMPUTED_VALUE"""),42740.64606373193)</f>
        <v>42740.64606</v>
      </c>
      <c r="C2875" s="1" t="str">
        <f>IFERROR(__xludf.DUMMYFUNCTION("""COMPUTED_VALUE"""),"treatment")</f>
        <v>treatment</v>
      </c>
      <c r="D2875" s="1" t="str">
        <f>IFERROR(__xludf.DUMMYFUNCTION("""COMPUTED_VALUE"""),"new_page")</f>
        <v>new_page</v>
      </c>
      <c r="E2875" s="1">
        <f>IFERROR(__xludf.DUMMYFUNCTION("""COMPUTED_VALUE"""),0.0)</f>
        <v>0</v>
      </c>
    </row>
    <row r="2876">
      <c r="A2876" s="1">
        <f>IFERROR(__xludf.DUMMYFUNCTION("""COMPUTED_VALUE"""),821791.0)</f>
        <v>821791</v>
      </c>
      <c r="B2876" s="2">
        <f>IFERROR(__xludf.DUMMYFUNCTION("""COMPUTED_VALUE"""),42742.08669531364)</f>
        <v>42742.0867</v>
      </c>
      <c r="C2876" s="1" t="str">
        <f>IFERROR(__xludf.DUMMYFUNCTION("""COMPUTED_VALUE"""),"control")</f>
        <v>control</v>
      </c>
      <c r="D2876" s="1" t="str">
        <f>IFERROR(__xludf.DUMMYFUNCTION("""COMPUTED_VALUE"""),"old_page")</f>
        <v>old_page</v>
      </c>
      <c r="E2876" s="1">
        <f>IFERROR(__xludf.DUMMYFUNCTION("""COMPUTED_VALUE"""),0.0)</f>
        <v>0</v>
      </c>
    </row>
    <row r="2877">
      <c r="A2877" s="1">
        <f>IFERROR(__xludf.DUMMYFUNCTION("""COMPUTED_VALUE"""),789390.0)</f>
        <v>789390</v>
      </c>
      <c r="B2877" s="2">
        <f>IFERROR(__xludf.DUMMYFUNCTION("""COMPUTED_VALUE"""),42748.284587792965)</f>
        <v>42748.28459</v>
      </c>
      <c r="C2877" s="1" t="str">
        <f>IFERROR(__xludf.DUMMYFUNCTION("""COMPUTED_VALUE"""),"treatment")</f>
        <v>treatment</v>
      </c>
      <c r="D2877" s="1" t="str">
        <f>IFERROR(__xludf.DUMMYFUNCTION("""COMPUTED_VALUE"""),"new_page")</f>
        <v>new_page</v>
      </c>
      <c r="E2877" s="1">
        <f>IFERROR(__xludf.DUMMYFUNCTION("""COMPUTED_VALUE"""),0.0)</f>
        <v>0</v>
      </c>
    </row>
    <row r="2878">
      <c r="A2878" s="1">
        <f>IFERROR(__xludf.DUMMYFUNCTION("""COMPUTED_VALUE"""),841604.0)</f>
        <v>841604</v>
      </c>
      <c r="B2878" s="2">
        <f>IFERROR(__xludf.DUMMYFUNCTION("""COMPUTED_VALUE"""),42757.25691067244)</f>
        <v>42757.25691</v>
      </c>
      <c r="C2878" s="1" t="str">
        <f>IFERROR(__xludf.DUMMYFUNCTION("""COMPUTED_VALUE"""),"treatment")</f>
        <v>treatment</v>
      </c>
      <c r="D2878" s="1" t="str">
        <f>IFERROR(__xludf.DUMMYFUNCTION("""COMPUTED_VALUE"""),"new_page")</f>
        <v>new_page</v>
      </c>
      <c r="E2878" s="1">
        <f>IFERROR(__xludf.DUMMYFUNCTION("""COMPUTED_VALUE"""),0.0)</f>
        <v>0</v>
      </c>
    </row>
    <row r="2879">
      <c r="A2879" s="1">
        <f>IFERROR(__xludf.DUMMYFUNCTION("""COMPUTED_VALUE"""),716695.0)</f>
        <v>716695</v>
      </c>
      <c r="B2879" s="2">
        <f>IFERROR(__xludf.DUMMYFUNCTION("""COMPUTED_VALUE"""),42745.39985381766)</f>
        <v>42745.39985</v>
      </c>
      <c r="C2879" s="1" t="str">
        <f>IFERROR(__xludf.DUMMYFUNCTION("""COMPUTED_VALUE"""),"control")</f>
        <v>control</v>
      </c>
      <c r="D2879" s="1" t="str">
        <f>IFERROR(__xludf.DUMMYFUNCTION("""COMPUTED_VALUE"""),"old_page")</f>
        <v>old_page</v>
      </c>
      <c r="E2879" s="1">
        <f>IFERROR(__xludf.DUMMYFUNCTION("""COMPUTED_VALUE"""),0.0)</f>
        <v>0</v>
      </c>
    </row>
    <row r="2880">
      <c r="A2880" s="1">
        <f>IFERROR(__xludf.DUMMYFUNCTION("""COMPUTED_VALUE"""),754137.0)</f>
        <v>754137</v>
      </c>
      <c r="B2880" s="2">
        <f>IFERROR(__xludf.DUMMYFUNCTION("""COMPUTED_VALUE"""),42751.451182082455)</f>
        <v>42751.45118</v>
      </c>
      <c r="C2880" s="1" t="str">
        <f>IFERROR(__xludf.DUMMYFUNCTION("""COMPUTED_VALUE"""),"treatment")</f>
        <v>treatment</v>
      </c>
      <c r="D2880" s="1" t="str">
        <f>IFERROR(__xludf.DUMMYFUNCTION("""COMPUTED_VALUE"""),"new_page")</f>
        <v>new_page</v>
      </c>
      <c r="E2880" s="1">
        <f>IFERROR(__xludf.DUMMYFUNCTION("""COMPUTED_VALUE"""),0.0)</f>
        <v>0</v>
      </c>
    </row>
    <row r="2881">
      <c r="A2881" s="1">
        <f>IFERROR(__xludf.DUMMYFUNCTION("""COMPUTED_VALUE"""),665793.0)</f>
        <v>665793</v>
      </c>
      <c r="B2881" s="2">
        <f>IFERROR(__xludf.DUMMYFUNCTION("""COMPUTED_VALUE"""),42739.47198011799)</f>
        <v>42739.47198</v>
      </c>
      <c r="C2881" s="1" t="str">
        <f>IFERROR(__xludf.DUMMYFUNCTION("""COMPUTED_VALUE"""),"control")</f>
        <v>control</v>
      </c>
      <c r="D2881" s="1" t="str">
        <f>IFERROR(__xludf.DUMMYFUNCTION("""COMPUTED_VALUE"""),"old_page")</f>
        <v>old_page</v>
      </c>
      <c r="E2881" s="1">
        <f>IFERROR(__xludf.DUMMYFUNCTION("""COMPUTED_VALUE"""),1.0)</f>
        <v>1</v>
      </c>
    </row>
    <row r="2882">
      <c r="A2882" s="1">
        <f>IFERROR(__xludf.DUMMYFUNCTION("""COMPUTED_VALUE"""),749714.0)</f>
        <v>749714</v>
      </c>
      <c r="B2882" s="2">
        <f>IFERROR(__xludf.DUMMYFUNCTION("""COMPUTED_VALUE"""),42747.15043031698)</f>
        <v>42747.15043</v>
      </c>
      <c r="C2882" s="1" t="str">
        <f>IFERROR(__xludf.DUMMYFUNCTION("""COMPUTED_VALUE"""),"control")</f>
        <v>control</v>
      </c>
      <c r="D2882" s="1" t="str">
        <f>IFERROR(__xludf.DUMMYFUNCTION("""COMPUTED_VALUE"""),"old_page")</f>
        <v>old_page</v>
      </c>
      <c r="E2882" s="1">
        <f>IFERROR(__xludf.DUMMYFUNCTION("""COMPUTED_VALUE"""),1.0)</f>
        <v>1</v>
      </c>
    </row>
    <row r="2883">
      <c r="A2883" s="1">
        <f>IFERROR(__xludf.DUMMYFUNCTION("""COMPUTED_VALUE"""),736106.0)</f>
        <v>736106</v>
      </c>
      <c r="B2883" s="2">
        <f>IFERROR(__xludf.DUMMYFUNCTION("""COMPUTED_VALUE"""),42737.753538753925)</f>
        <v>42737.75354</v>
      </c>
      <c r="C2883" s="1" t="str">
        <f>IFERROR(__xludf.DUMMYFUNCTION("""COMPUTED_VALUE"""),"control")</f>
        <v>control</v>
      </c>
      <c r="D2883" s="1" t="str">
        <f>IFERROR(__xludf.DUMMYFUNCTION("""COMPUTED_VALUE"""),"old_page")</f>
        <v>old_page</v>
      </c>
      <c r="E2883" s="1">
        <f>IFERROR(__xludf.DUMMYFUNCTION("""COMPUTED_VALUE"""),0.0)</f>
        <v>0</v>
      </c>
    </row>
    <row r="2884">
      <c r="A2884" s="1">
        <f>IFERROR(__xludf.DUMMYFUNCTION("""COMPUTED_VALUE"""),657690.0)</f>
        <v>657690</v>
      </c>
      <c r="B2884" s="2">
        <f>IFERROR(__xludf.DUMMYFUNCTION("""COMPUTED_VALUE"""),42753.73733989034)</f>
        <v>42753.73734</v>
      </c>
      <c r="C2884" s="1" t="str">
        <f>IFERROR(__xludf.DUMMYFUNCTION("""COMPUTED_VALUE"""),"treatment")</f>
        <v>treatment</v>
      </c>
      <c r="D2884" s="1" t="str">
        <f>IFERROR(__xludf.DUMMYFUNCTION("""COMPUTED_VALUE"""),"new_page")</f>
        <v>new_page</v>
      </c>
      <c r="E2884" s="1">
        <f>IFERROR(__xludf.DUMMYFUNCTION("""COMPUTED_VALUE"""),0.0)</f>
        <v>0</v>
      </c>
    </row>
    <row r="2885">
      <c r="A2885" s="1">
        <f>IFERROR(__xludf.DUMMYFUNCTION("""COMPUTED_VALUE"""),939630.0)</f>
        <v>939630</v>
      </c>
      <c r="B2885" s="2">
        <f>IFERROR(__xludf.DUMMYFUNCTION("""COMPUTED_VALUE"""),42750.761046064974)</f>
        <v>42750.76105</v>
      </c>
      <c r="C2885" s="1" t="str">
        <f>IFERROR(__xludf.DUMMYFUNCTION("""COMPUTED_VALUE"""),"control")</f>
        <v>control</v>
      </c>
      <c r="D2885" s="1" t="str">
        <f>IFERROR(__xludf.DUMMYFUNCTION("""COMPUTED_VALUE"""),"old_page")</f>
        <v>old_page</v>
      </c>
      <c r="E2885" s="1">
        <f>IFERROR(__xludf.DUMMYFUNCTION("""COMPUTED_VALUE"""),0.0)</f>
        <v>0</v>
      </c>
    </row>
    <row r="2886">
      <c r="A2886" s="1">
        <f>IFERROR(__xludf.DUMMYFUNCTION("""COMPUTED_VALUE"""),773106.0)</f>
        <v>773106</v>
      </c>
      <c r="B2886" s="2">
        <f>IFERROR(__xludf.DUMMYFUNCTION("""COMPUTED_VALUE"""),42750.31111249861)</f>
        <v>42750.31111</v>
      </c>
      <c r="C2886" s="1" t="str">
        <f>IFERROR(__xludf.DUMMYFUNCTION("""COMPUTED_VALUE"""),"control")</f>
        <v>control</v>
      </c>
      <c r="D2886" s="1" t="str">
        <f>IFERROR(__xludf.DUMMYFUNCTION("""COMPUTED_VALUE"""),"old_page")</f>
        <v>old_page</v>
      </c>
      <c r="E2886" s="1">
        <f>IFERROR(__xludf.DUMMYFUNCTION("""COMPUTED_VALUE"""),0.0)</f>
        <v>0</v>
      </c>
    </row>
    <row r="2887">
      <c r="A2887" s="1">
        <f>IFERROR(__xludf.DUMMYFUNCTION("""COMPUTED_VALUE"""),707288.0)</f>
        <v>707288</v>
      </c>
      <c r="B2887" s="2">
        <f>IFERROR(__xludf.DUMMYFUNCTION("""COMPUTED_VALUE"""),42755.523382548716)</f>
        <v>42755.52338</v>
      </c>
      <c r="C2887" s="1" t="str">
        <f>IFERROR(__xludf.DUMMYFUNCTION("""COMPUTED_VALUE"""),"treatment")</f>
        <v>treatment</v>
      </c>
      <c r="D2887" s="1" t="str">
        <f>IFERROR(__xludf.DUMMYFUNCTION("""COMPUTED_VALUE"""),"new_page")</f>
        <v>new_page</v>
      </c>
      <c r="E2887" s="1">
        <f>IFERROR(__xludf.DUMMYFUNCTION("""COMPUTED_VALUE"""),0.0)</f>
        <v>0</v>
      </c>
    </row>
    <row r="2888">
      <c r="A2888" s="1">
        <f>IFERROR(__xludf.DUMMYFUNCTION("""COMPUTED_VALUE"""),769392.0)</f>
        <v>769392</v>
      </c>
      <c r="B2888" s="2">
        <f>IFERROR(__xludf.DUMMYFUNCTION("""COMPUTED_VALUE"""),42741.52773229607)</f>
        <v>42741.52773</v>
      </c>
      <c r="C2888" s="1" t="str">
        <f>IFERROR(__xludf.DUMMYFUNCTION("""COMPUTED_VALUE"""),"control")</f>
        <v>control</v>
      </c>
      <c r="D2888" s="1" t="str">
        <f>IFERROR(__xludf.DUMMYFUNCTION("""COMPUTED_VALUE"""),"old_page")</f>
        <v>old_page</v>
      </c>
      <c r="E2888" s="1">
        <f>IFERROR(__xludf.DUMMYFUNCTION("""COMPUTED_VALUE"""),0.0)</f>
        <v>0</v>
      </c>
    </row>
    <row r="2889">
      <c r="A2889" s="1">
        <f>IFERROR(__xludf.DUMMYFUNCTION("""COMPUTED_VALUE"""),847774.0)</f>
        <v>847774</v>
      </c>
      <c r="B2889" s="2">
        <f>IFERROR(__xludf.DUMMYFUNCTION("""COMPUTED_VALUE"""),42742.434696640594)</f>
        <v>42742.4347</v>
      </c>
      <c r="C2889" s="1" t="str">
        <f>IFERROR(__xludf.DUMMYFUNCTION("""COMPUTED_VALUE"""),"treatment")</f>
        <v>treatment</v>
      </c>
      <c r="D2889" s="1" t="str">
        <f>IFERROR(__xludf.DUMMYFUNCTION("""COMPUTED_VALUE"""),"new_page")</f>
        <v>new_page</v>
      </c>
      <c r="E2889" s="1">
        <f>IFERROR(__xludf.DUMMYFUNCTION("""COMPUTED_VALUE"""),1.0)</f>
        <v>1</v>
      </c>
    </row>
    <row r="2890">
      <c r="A2890" s="1">
        <f>IFERROR(__xludf.DUMMYFUNCTION("""COMPUTED_VALUE"""),893809.0)</f>
        <v>893809</v>
      </c>
      <c r="B2890" s="2">
        <f>IFERROR(__xludf.DUMMYFUNCTION("""COMPUTED_VALUE"""),42742.823894782145)</f>
        <v>42742.82389</v>
      </c>
      <c r="C2890" s="1" t="str">
        <f>IFERROR(__xludf.DUMMYFUNCTION("""COMPUTED_VALUE"""),"control")</f>
        <v>control</v>
      </c>
      <c r="D2890" s="1" t="str">
        <f>IFERROR(__xludf.DUMMYFUNCTION("""COMPUTED_VALUE"""),"old_page")</f>
        <v>old_page</v>
      </c>
      <c r="E2890" s="1">
        <f>IFERROR(__xludf.DUMMYFUNCTION("""COMPUTED_VALUE"""),0.0)</f>
        <v>0</v>
      </c>
    </row>
    <row r="2891">
      <c r="A2891" s="1">
        <f>IFERROR(__xludf.DUMMYFUNCTION("""COMPUTED_VALUE"""),728780.0)</f>
        <v>728780</v>
      </c>
      <c r="B2891" s="2">
        <f>IFERROR(__xludf.DUMMYFUNCTION("""COMPUTED_VALUE"""),42753.876059622045)</f>
        <v>42753.87606</v>
      </c>
      <c r="C2891" s="1" t="str">
        <f>IFERROR(__xludf.DUMMYFUNCTION("""COMPUTED_VALUE"""),"control")</f>
        <v>control</v>
      </c>
      <c r="D2891" s="1" t="str">
        <f>IFERROR(__xludf.DUMMYFUNCTION("""COMPUTED_VALUE"""),"old_page")</f>
        <v>old_page</v>
      </c>
      <c r="E2891" s="1">
        <f>IFERROR(__xludf.DUMMYFUNCTION("""COMPUTED_VALUE"""),0.0)</f>
        <v>0</v>
      </c>
    </row>
    <row r="2892">
      <c r="A2892" s="1">
        <f>IFERROR(__xludf.DUMMYFUNCTION("""COMPUTED_VALUE"""),835935.0)</f>
        <v>835935</v>
      </c>
      <c r="B2892" s="2">
        <f>IFERROR(__xludf.DUMMYFUNCTION("""COMPUTED_VALUE"""),42753.9618915255)</f>
        <v>42753.96189</v>
      </c>
      <c r="C2892" s="1" t="str">
        <f>IFERROR(__xludf.DUMMYFUNCTION("""COMPUTED_VALUE"""),"control")</f>
        <v>control</v>
      </c>
      <c r="D2892" s="1" t="str">
        <f>IFERROR(__xludf.DUMMYFUNCTION("""COMPUTED_VALUE"""),"old_page")</f>
        <v>old_page</v>
      </c>
      <c r="E2892" s="1">
        <f>IFERROR(__xludf.DUMMYFUNCTION("""COMPUTED_VALUE"""),0.0)</f>
        <v>0</v>
      </c>
    </row>
    <row r="2893">
      <c r="A2893" s="1">
        <f>IFERROR(__xludf.DUMMYFUNCTION("""COMPUTED_VALUE"""),912731.0)</f>
        <v>912731</v>
      </c>
      <c r="B2893" s="2">
        <f>IFERROR(__xludf.DUMMYFUNCTION("""COMPUTED_VALUE"""),42743.87260179691)</f>
        <v>42743.8726</v>
      </c>
      <c r="C2893" s="1" t="str">
        <f>IFERROR(__xludf.DUMMYFUNCTION("""COMPUTED_VALUE"""),"control")</f>
        <v>control</v>
      </c>
      <c r="D2893" s="1" t="str">
        <f>IFERROR(__xludf.DUMMYFUNCTION("""COMPUTED_VALUE"""),"old_page")</f>
        <v>old_page</v>
      </c>
      <c r="E2893" s="1">
        <f>IFERROR(__xludf.DUMMYFUNCTION("""COMPUTED_VALUE"""),0.0)</f>
        <v>0</v>
      </c>
    </row>
    <row r="2894">
      <c r="A2894" s="1">
        <f>IFERROR(__xludf.DUMMYFUNCTION("""COMPUTED_VALUE"""),798969.0)</f>
        <v>798969</v>
      </c>
      <c r="B2894" s="2">
        <f>IFERROR(__xludf.DUMMYFUNCTION("""COMPUTED_VALUE"""),42753.7345111872)</f>
        <v>42753.73451</v>
      </c>
      <c r="C2894" s="1" t="str">
        <f>IFERROR(__xludf.DUMMYFUNCTION("""COMPUTED_VALUE"""),"treatment")</f>
        <v>treatment</v>
      </c>
      <c r="D2894" s="1" t="str">
        <f>IFERROR(__xludf.DUMMYFUNCTION("""COMPUTED_VALUE"""),"new_page")</f>
        <v>new_page</v>
      </c>
      <c r="E2894" s="1">
        <f>IFERROR(__xludf.DUMMYFUNCTION("""COMPUTED_VALUE"""),0.0)</f>
        <v>0</v>
      </c>
    </row>
    <row r="2895">
      <c r="A2895" s="1">
        <f>IFERROR(__xludf.DUMMYFUNCTION("""COMPUTED_VALUE"""),773192.0)</f>
        <v>773192</v>
      </c>
      <c r="B2895" s="2">
        <f>IFERROR(__xludf.DUMMYFUNCTION("""COMPUTED_VALUE"""),42749.12221748758)</f>
        <v>42749.12222</v>
      </c>
      <c r="C2895" s="1" t="str">
        <f>IFERROR(__xludf.DUMMYFUNCTION("""COMPUTED_VALUE"""),"treatment")</f>
        <v>treatment</v>
      </c>
      <c r="D2895" s="1" t="str">
        <f>IFERROR(__xludf.DUMMYFUNCTION("""COMPUTED_VALUE"""),"new_page")</f>
        <v>new_page</v>
      </c>
      <c r="E2895" s="1">
        <f>IFERROR(__xludf.DUMMYFUNCTION("""COMPUTED_VALUE"""),0.0)</f>
        <v>0</v>
      </c>
    </row>
    <row r="2896">
      <c r="A2896" s="1">
        <f>IFERROR(__xludf.DUMMYFUNCTION("""COMPUTED_VALUE"""),884145.0)</f>
        <v>884145</v>
      </c>
      <c r="B2896" s="2">
        <f>IFERROR(__xludf.DUMMYFUNCTION("""COMPUTED_VALUE"""),42744.65669511005)</f>
        <v>42744.6567</v>
      </c>
      <c r="C2896" s="1" t="str">
        <f>IFERROR(__xludf.DUMMYFUNCTION("""COMPUTED_VALUE"""),"treatment")</f>
        <v>treatment</v>
      </c>
      <c r="D2896" s="1" t="str">
        <f>IFERROR(__xludf.DUMMYFUNCTION("""COMPUTED_VALUE"""),"new_page")</f>
        <v>new_page</v>
      </c>
      <c r="E2896" s="1">
        <f>IFERROR(__xludf.DUMMYFUNCTION("""COMPUTED_VALUE"""),0.0)</f>
        <v>0</v>
      </c>
    </row>
    <row r="2897">
      <c r="A2897" s="1">
        <f>IFERROR(__xludf.DUMMYFUNCTION("""COMPUTED_VALUE"""),656518.0)</f>
        <v>656518</v>
      </c>
      <c r="B2897" s="2">
        <f>IFERROR(__xludf.DUMMYFUNCTION("""COMPUTED_VALUE"""),42746.85844378676)</f>
        <v>42746.85844</v>
      </c>
      <c r="C2897" s="1" t="str">
        <f>IFERROR(__xludf.DUMMYFUNCTION("""COMPUTED_VALUE"""),"treatment")</f>
        <v>treatment</v>
      </c>
      <c r="D2897" s="1" t="str">
        <f>IFERROR(__xludf.DUMMYFUNCTION("""COMPUTED_VALUE"""),"new_page")</f>
        <v>new_page</v>
      </c>
      <c r="E2897" s="1">
        <f>IFERROR(__xludf.DUMMYFUNCTION("""COMPUTED_VALUE"""),0.0)</f>
        <v>0</v>
      </c>
    </row>
    <row r="2898">
      <c r="A2898" s="1">
        <f>IFERROR(__xludf.DUMMYFUNCTION("""COMPUTED_VALUE"""),924519.0)</f>
        <v>924519</v>
      </c>
      <c r="B2898" s="2">
        <f>IFERROR(__xludf.DUMMYFUNCTION("""COMPUTED_VALUE"""),42745.127777105175)</f>
        <v>42745.12778</v>
      </c>
      <c r="C2898" s="1" t="str">
        <f>IFERROR(__xludf.DUMMYFUNCTION("""COMPUTED_VALUE"""),"treatment")</f>
        <v>treatment</v>
      </c>
      <c r="D2898" s="1" t="str">
        <f>IFERROR(__xludf.DUMMYFUNCTION("""COMPUTED_VALUE"""),"new_page")</f>
        <v>new_page</v>
      </c>
      <c r="E2898" s="1">
        <f>IFERROR(__xludf.DUMMYFUNCTION("""COMPUTED_VALUE"""),0.0)</f>
        <v>0</v>
      </c>
    </row>
    <row r="2899">
      <c r="A2899" s="1">
        <f>IFERROR(__xludf.DUMMYFUNCTION("""COMPUTED_VALUE"""),863615.0)</f>
        <v>863615</v>
      </c>
      <c r="B2899" s="2">
        <f>IFERROR(__xludf.DUMMYFUNCTION("""COMPUTED_VALUE"""),42754.99618448848)</f>
        <v>42754.99618</v>
      </c>
      <c r="C2899" s="1" t="str">
        <f>IFERROR(__xludf.DUMMYFUNCTION("""COMPUTED_VALUE"""),"control")</f>
        <v>control</v>
      </c>
      <c r="D2899" s="1" t="str">
        <f>IFERROR(__xludf.DUMMYFUNCTION("""COMPUTED_VALUE"""),"old_page")</f>
        <v>old_page</v>
      </c>
      <c r="E2899" s="1">
        <f>IFERROR(__xludf.DUMMYFUNCTION("""COMPUTED_VALUE"""),0.0)</f>
        <v>0</v>
      </c>
    </row>
    <row r="2900">
      <c r="A2900" s="1">
        <f>IFERROR(__xludf.DUMMYFUNCTION("""COMPUTED_VALUE"""),855124.0)</f>
        <v>855124</v>
      </c>
      <c r="B2900" s="2">
        <f>IFERROR(__xludf.DUMMYFUNCTION("""COMPUTED_VALUE"""),42748.42109717332)</f>
        <v>42748.4211</v>
      </c>
      <c r="C2900" s="1" t="str">
        <f>IFERROR(__xludf.DUMMYFUNCTION("""COMPUTED_VALUE"""),"treatment")</f>
        <v>treatment</v>
      </c>
      <c r="D2900" s="1" t="str">
        <f>IFERROR(__xludf.DUMMYFUNCTION("""COMPUTED_VALUE"""),"new_page")</f>
        <v>new_page</v>
      </c>
      <c r="E2900" s="1">
        <f>IFERROR(__xludf.DUMMYFUNCTION("""COMPUTED_VALUE"""),0.0)</f>
        <v>0</v>
      </c>
    </row>
    <row r="2901">
      <c r="A2901" s="1">
        <f>IFERROR(__xludf.DUMMYFUNCTION("""COMPUTED_VALUE"""),833223.0)</f>
        <v>833223</v>
      </c>
      <c r="B2901" s="2">
        <f>IFERROR(__xludf.DUMMYFUNCTION("""COMPUTED_VALUE"""),42745.23397966303)</f>
        <v>42745.23398</v>
      </c>
      <c r="C2901" s="1" t="str">
        <f>IFERROR(__xludf.DUMMYFUNCTION("""COMPUTED_VALUE"""),"control")</f>
        <v>control</v>
      </c>
      <c r="D2901" s="1" t="str">
        <f>IFERROR(__xludf.DUMMYFUNCTION("""COMPUTED_VALUE"""),"old_page")</f>
        <v>old_page</v>
      </c>
      <c r="E2901" s="1">
        <f>IFERROR(__xludf.DUMMYFUNCTION("""COMPUTED_VALUE"""),0.0)</f>
        <v>0</v>
      </c>
    </row>
    <row r="2902">
      <c r="A2902" s="1">
        <f>IFERROR(__xludf.DUMMYFUNCTION("""COMPUTED_VALUE"""),831123.0)</f>
        <v>831123</v>
      </c>
      <c r="B2902" s="2">
        <f>IFERROR(__xludf.DUMMYFUNCTION("""COMPUTED_VALUE"""),42753.66086308639)</f>
        <v>42753.66086</v>
      </c>
      <c r="C2902" s="1" t="str">
        <f>IFERROR(__xludf.DUMMYFUNCTION("""COMPUTED_VALUE"""),"treatment")</f>
        <v>treatment</v>
      </c>
      <c r="D2902" s="1" t="str">
        <f>IFERROR(__xludf.DUMMYFUNCTION("""COMPUTED_VALUE"""),"new_page")</f>
        <v>new_page</v>
      </c>
      <c r="E2902" s="1">
        <f>IFERROR(__xludf.DUMMYFUNCTION("""COMPUTED_VALUE"""),0.0)</f>
        <v>0</v>
      </c>
    </row>
    <row r="2903">
      <c r="A2903" s="1">
        <f>IFERROR(__xludf.DUMMYFUNCTION("""COMPUTED_VALUE"""),862849.0)</f>
        <v>862849</v>
      </c>
      <c r="B2903" s="2">
        <f>IFERROR(__xludf.DUMMYFUNCTION("""COMPUTED_VALUE"""),42754.490724480194)</f>
        <v>42754.49072</v>
      </c>
      <c r="C2903" s="1" t="str">
        <f>IFERROR(__xludf.DUMMYFUNCTION("""COMPUTED_VALUE"""),"control")</f>
        <v>control</v>
      </c>
      <c r="D2903" s="1" t="str">
        <f>IFERROR(__xludf.DUMMYFUNCTION("""COMPUTED_VALUE"""),"old_page")</f>
        <v>old_page</v>
      </c>
      <c r="E2903" s="1">
        <f>IFERROR(__xludf.DUMMYFUNCTION("""COMPUTED_VALUE"""),0.0)</f>
        <v>0</v>
      </c>
    </row>
    <row r="2904">
      <c r="A2904" s="1">
        <f>IFERROR(__xludf.DUMMYFUNCTION("""COMPUTED_VALUE"""),728948.0)</f>
        <v>728948</v>
      </c>
      <c r="B2904" s="2">
        <f>IFERROR(__xludf.DUMMYFUNCTION("""COMPUTED_VALUE"""),42747.407195790496)</f>
        <v>42747.4072</v>
      </c>
      <c r="C2904" s="1" t="str">
        <f>IFERROR(__xludf.DUMMYFUNCTION("""COMPUTED_VALUE"""),"control")</f>
        <v>control</v>
      </c>
      <c r="D2904" s="1" t="str">
        <f>IFERROR(__xludf.DUMMYFUNCTION("""COMPUTED_VALUE"""),"old_page")</f>
        <v>old_page</v>
      </c>
      <c r="E2904" s="1">
        <f>IFERROR(__xludf.DUMMYFUNCTION("""COMPUTED_VALUE"""),1.0)</f>
        <v>1</v>
      </c>
    </row>
    <row r="2905">
      <c r="A2905" s="1">
        <f>IFERROR(__xludf.DUMMYFUNCTION("""COMPUTED_VALUE"""),681546.0)</f>
        <v>681546</v>
      </c>
      <c r="B2905" s="2">
        <f>IFERROR(__xludf.DUMMYFUNCTION("""COMPUTED_VALUE"""),42745.169864545496)</f>
        <v>42745.16986</v>
      </c>
      <c r="C2905" s="1" t="str">
        <f>IFERROR(__xludf.DUMMYFUNCTION("""COMPUTED_VALUE"""),"control")</f>
        <v>control</v>
      </c>
      <c r="D2905" s="1" t="str">
        <f>IFERROR(__xludf.DUMMYFUNCTION("""COMPUTED_VALUE"""),"old_page")</f>
        <v>old_page</v>
      </c>
      <c r="E2905" s="1">
        <f>IFERROR(__xludf.DUMMYFUNCTION("""COMPUTED_VALUE"""),0.0)</f>
        <v>0</v>
      </c>
    </row>
    <row r="2906">
      <c r="A2906" s="1">
        <f>IFERROR(__xludf.DUMMYFUNCTION("""COMPUTED_VALUE"""),881422.0)</f>
        <v>881422</v>
      </c>
      <c r="B2906" s="2">
        <f>IFERROR(__xludf.DUMMYFUNCTION("""COMPUTED_VALUE"""),42756.90662781648)</f>
        <v>42756.90663</v>
      </c>
      <c r="C2906" s="1" t="str">
        <f>IFERROR(__xludf.DUMMYFUNCTION("""COMPUTED_VALUE"""),"control")</f>
        <v>control</v>
      </c>
      <c r="D2906" s="1" t="str">
        <f>IFERROR(__xludf.DUMMYFUNCTION("""COMPUTED_VALUE"""),"old_page")</f>
        <v>old_page</v>
      </c>
      <c r="E2906" s="1">
        <f>IFERROR(__xludf.DUMMYFUNCTION("""COMPUTED_VALUE"""),0.0)</f>
        <v>0</v>
      </c>
    </row>
    <row r="2907">
      <c r="A2907" s="1">
        <f>IFERROR(__xludf.DUMMYFUNCTION("""COMPUTED_VALUE"""),906578.0)</f>
        <v>906578</v>
      </c>
      <c r="B2907" s="2">
        <f>IFERROR(__xludf.DUMMYFUNCTION("""COMPUTED_VALUE"""),42747.02248163985)</f>
        <v>42747.02248</v>
      </c>
      <c r="C2907" s="1" t="str">
        <f>IFERROR(__xludf.DUMMYFUNCTION("""COMPUTED_VALUE"""),"treatment")</f>
        <v>treatment</v>
      </c>
      <c r="D2907" s="1" t="str">
        <f>IFERROR(__xludf.DUMMYFUNCTION("""COMPUTED_VALUE"""),"new_page")</f>
        <v>new_page</v>
      </c>
      <c r="E2907" s="1">
        <f>IFERROR(__xludf.DUMMYFUNCTION("""COMPUTED_VALUE"""),0.0)</f>
        <v>0</v>
      </c>
    </row>
    <row r="2908">
      <c r="A2908" s="1">
        <f>IFERROR(__xludf.DUMMYFUNCTION("""COMPUTED_VALUE"""),677647.0)</f>
        <v>677647</v>
      </c>
      <c r="B2908" s="2">
        <f>IFERROR(__xludf.DUMMYFUNCTION("""COMPUTED_VALUE"""),42757.469935943634)</f>
        <v>42757.46994</v>
      </c>
      <c r="C2908" s="1" t="str">
        <f>IFERROR(__xludf.DUMMYFUNCTION("""COMPUTED_VALUE"""),"control")</f>
        <v>control</v>
      </c>
      <c r="D2908" s="1" t="str">
        <f>IFERROR(__xludf.DUMMYFUNCTION("""COMPUTED_VALUE"""),"old_page")</f>
        <v>old_page</v>
      </c>
      <c r="E2908" s="1">
        <f>IFERROR(__xludf.DUMMYFUNCTION("""COMPUTED_VALUE"""),0.0)</f>
        <v>0</v>
      </c>
    </row>
    <row r="2909">
      <c r="A2909" s="1">
        <f>IFERROR(__xludf.DUMMYFUNCTION("""COMPUTED_VALUE"""),817420.0)</f>
        <v>817420</v>
      </c>
      <c r="B2909" s="2">
        <f>IFERROR(__xludf.DUMMYFUNCTION("""COMPUTED_VALUE"""),42759.184031096374)</f>
        <v>42759.18403</v>
      </c>
      <c r="C2909" s="1" t="str">
        <f>IFERROR(__xludf.DUMMYFUNCTION("""COMPUTED_VALUE"""),"treatment")</f>
        <v>treatment</v>
      </c>
      <c r="D2909" s="1" t="str">
        <f>IFERROR(__xludf.DUMMYFUNCTION("""COMPUTED_VALUE"""),"new_page")</f>
        <v>new_page</v>
      </c>
      <c r="E2909" s="1">
        <f>IFERROR(__xludf.DUMMYFUNCTION("""COMPUTED_VALUE"""),0.0)</f>
        <v>0</v>
      </c>
    </row>
    <row r="2910">
      <c r="A2910" s="1">
        <f>IFERROR(__xludf.DUMMYFUNCTION("""COMPUTED_VALUE"""),631009.0)</f>
        <v>631009</v>
      </c>
      <c r="B2910" s="2">
        <f>IFERROR(__xludf.DUMMYFUNCTION("""COMPUTED_VALUE"""),42751.17287537396)</f>
        <v>42751.17288</v>
      </c>
      <c r="C2910" s="1" t="str">
        <f>IFERROR(__xludf.DUMMYFUNCTION("""COMPUTED_VALUE"""),"control")</f>
        <v>control</v>
      </c>
      <c r="D2910" s="1" t="str">
        <f>IFERROR(__xludf.DUMMYFUNCTION("""COMPUTED_VALUE"""),"old_page")</f>
        <v>old_page</v>
      </c>
      <c r="E2910" s="1">
        <f>IFERROR(__xludf.DUMMYFUNCTION("""COMPUTED_VALUE"""),0.0)</f>
        <v>0</v>
      </c>
    </row>
    <row r="2911">
      <c r="A2911" s="1">
        <f>IFERROR(__xludf.DUMMYFUNCTION("""COMPUTED_VALUE"""),755973.0)</f>
        <v>755973</v>
      </c>
      <c r="B2911" s="2">
        <f>IFERROR(__xludf.DUMMYFUNCTION("""COMPUTED_VALUE"""),42741.66634921189)</f>
        <v>42741.66635</v>
      </c>
      <c r="C2911" s="1" t="str">
        <f>IFERROR(__xludf.DUMMYFUNCTION("""COMPUTED_VALUE"""),"control")</f>
        <v>control</v>
      </c>
      <c r="D2911" s="1" t="str">
        <f>IFERROR(__xludf.DUMMYFUNCTION("""COMPUTED_VALUE"""),"old_page")</f>
        <v>old_page</v>
      </c>
      <c r="E2911" s="1">
        <f>IFERROR(__xludf.DUMMYFUNCTION("""COMPUTED_VALUE"""),1.0)</f>
        <v>1</v>
      </c>
    </row>
    <row r="2912">
      <c r="A2912" s="1">
        <f>IFERROR(__xludf.DUMMYFUNCTION("""COMPUTED_VALUE"""),728926.0)</f>
        <v>728926</v>
      </c>
      <c r="B2912" s="2">
        <f>IFERROR(__xludf.DUMMYFUNCTION("""COMPUTED_VALUE"""),42751.93757719962)</f>
        <v>42751.93758</v>
      </c>
      <c r="C2912" s="1" t="str">
        <f>IFERROR(__xludf.DUMMYFUNCTION("""COMPUTED_VALUE"""),"control")</f>
        <v>control</v>
      </c>
      <c r="D2912" s="1" t="str">
        <f>IFERROR(__xludf.DUMMYFUNCTION("""COMPUTED_VALUE"""),"old_page")</f>
        <v>old_page</v>
      </c>
      <c r="E2912" s="1">
        <f>IFERROR(__xludf.DUMMYFUNCTION("""COMPUTED_VALUE"""),0.0)</f>
        <v>0</v>
      </c>
    </row>
    <row r="2913">
      <c r="A2913" s="1">
        <f>IFERROR(__xludf.DUMMYFUNCTION("""COMPUTED_VALUE"""),894322.0)</f>
        <v>894322</v>
      </c>
      <c r="B2913" s="2">
        <f>IFERROR(__xludf.DUMMYFUNCTION("""COMPUTED_VALUE"""),42740.05352509262)</f>
        <v>42740.05353</v>
      </c>
      <c r="C2913" s="1" t="str">
        <f>IFERROR(__xludf.DUMMYFUNCTION("""COMPUTED_VALUE"""),"control")</f>
        <v>control</v>
      </c>
      <c r="D2913" s="1" t="str">
        <f>IFERROR(__xludf.DUMMYFUNCTION("""COMPUTED_VALUE"""),"old_page")</f>
        <v>old_page</v>
      </c>
      <c r="E2913" s="1">
        <f>IFERROR(__xludf.DUMMYFUNCTION("""COMPUTED_VALUE"""),0.0)</f>
        <v>0</v>
      </c>
    </row>
    <row r="2914">
      <c r="A2914" s="1">
        <f>IFERROR(__xludf.DUMMYFUNCTION("""COMPUTED_VALUE"""),862824.0)</f>
        <v>862824</v>
      </c>
      <c r="B2914" s="2">
        <f>IFERROR(__xludf.DUMMYFUNCTION("""COMPUTED_VALUE"""),42743.56118430521)</f>
        <v>42743.56118</v>
      </c>
      <c r="C2914" s="1" t="str">
        <f>IFERROR(__xludf.DUMMYFUNCTION("""COMPUTED_VALUE"""),"control")</f>
        <v>control</v>
      </c>
      <c r="D2914" s="1" t="str">
        <f>IFERROR(__xludf.DUMMYFUNCTION("""COMPUTED_VALUE"""),"old_page")</f>
        <v>old_page</v>
      </c>
      <c r="E2914" s="1">
        <f>IFERROR(__xludf.DUMMYFUNCTION("""COMPUTED_VALUE"""),0.0)</f>
        <v>0</v>
      </c>
    </row>
    <row r="2915">
      <c r="A2915" s="1">
        <f>IFERROR(__xludf.DUMMYFUNCTION("""COMPUTED_VALUE"""),669368.0)</f>
        <v>669368</v>
      </c>
      <c r="B2915" s="2">
        <f>IFERROR(__xludf.DUMMYFUNCTION("""COMPUTED_VALUE"""),42743.39047035059)</f>
        <v>42743.39047</v>
      </c>
      <c r="C2915" s="1" t="str">
        <f>IFERROR(__xludf.DUMMYFUNCTION("""COMPUTED_VALUE"""),"treatment")</f>
        <v>treatment</v>
      </c>
      <c r="D2915" s="1" t="str">
        <f>IFERROR(__xludf.DUMMYFUNCTION("""COMPUTED_VALUE"""),"new_page")</f>
        <v>new_page</v>
      </c>
      <c r="E2915" s="1">
        <f>IFERROR(__xludf.DUMMYFUNCTION("""COMPUTED_VALUE"""),0.0)</f>
        <v>0</v>
      </c>
    </row>
    <row r="2916">
      <c r="A2916" s="1">
        <f>IFERROR(__xludf.DUMMYFUNCTION("""COMPUTED_VALUE"""),741596.0)</f>
        <v>741596</v>
      </c>
      <c r="B2916" s="2">
        <f>IFERROR(__xludf.DUMMYFUNCTION("""COMPUTED_VALUE"""),42758.72827386585)</f>
        <v>42758.72827</v>
      </c>
      <c r="C2916" s="1" t="str">
        <f>IFERROR(__xludf.DUMMYFUNCTION("""COMPUTED_VALUE"""),"treatment")</f>
        <v>treatment</v>
      </c>
      <c r="D2916" s="1" t="str">
        <f>IFERROR(__xludf.DUMMYFUNCTION("""COMPUTED_VALUE"""),"new_page")</f>
        <v>new_page</v>
      </c>
      <c r="E2916" s="1">
        <f>IFERROR(__xludf.DUMMYFUNCTION("""COMPUTED_VALUE"""),0.0)</f>
        <v>0</v>
      </c>
    </row>
    <row r="2917">
      <c r="A2917" s="1">
        <f>IFERROR(__xludf.DUMMYFUNCTION("""COMPUTED_VALUE"""),812857.0)</f>
        <v>812857</v>
      </c>
      <c r="B2917" s="2">
        <f>IFERROR(__xludf.DUMMYFUNCTION("""COMPUTED_VALUE"""),42753.27342941756)</f>
        <v>42753.27343</v>
      </c>
      <c r="C2917" s="1" t="str">
        <f>IFERROR(__xludf.DUMMYFUNCTION("""COMPUTED_VALUE"""),"control")</f>
        <v>control</v>
      </c>
      <c r="D2917" s="1" t="str">
        <f>IFERROR(__xludf.DUMMYFUNCTION("""COMPUTED_VALUE"""),"old_page")</f>
        <v>old_page</v>
      </c>
      <c r="E2917" s="1">
        <f>IFERROR(__xludf.DUMMYFUNCTION("""COMPUTED_VALUE"""),0.0)</f>
        <v>0</v>
      </c>
    </row>
    <row r="2918">
      <c r="A2918" s="1">
        <f>IFERROR(__xludf.DUMMYFUNCTION("""COMPUTED_VALUE"""),687218.0)</f>
        <v>687218</v>
      </c>
      <c r="B2918" s="2">
        <f>IFERROR(__xludf.DUMMYFUNCTION("""COMPUTED_VALUE"""),42738.44894772861)</f>
        <v>42738.44895</v>
      </c>
      <c r="C2918" s="1" t="str">
        <f>IFERROR(__xludf.DUMMYFUNCTION("""COMPUTED_VALUE"""),"treatment")</f>
        <v>treatment</v>
      </c>
      <c r="D2918" s="1" t="str">
        <f>IFERROR(__xludf.DUMMYFUNCTION("""COMPUTED_VALUE"""),"new_page")</f>
        <v>new_page</v>
      </c>
      <c r="E2918" s="1">
        <f>IFERROR(__xludf.DUMMYFUNCTION("""COMPUTED_VALUE"""),0.0)</f>
        <v>0</v>
      </c>
    </row>
    <row r="2919">
      <c r="A2919" s="1">
        <f>IFERROR(__xludf.DUMMYFUNCTION("""COMPUTED_VALUE"""),685172.0)</f>
        <v>685172</v>
      </c>
      <c r="B2919" s="2">
        <f>IFERROR(__xludf.DUMMYFUNCTION("""COMPUTED_VALUE"""),42744.35666725735)</f>
        <v>42744.35667</v>
      </c>
      <c r="C2919" s="1" t="str">
        <f>IFERROR(__xludf.DUMMYFUNCTION("""COMPUTED_VALUE"""),"control")</f>
        <v>control</v>
      </c>
      <c r="D2919" s="1" t="str">
        <f>IFERROR(__xludf.DUMMYFUNCTION("""COMPUTED_VALUE"""),"old_page")</f>
        <v>old_page</v>
      </c>
      <c r="E2919" s="1">
        <f>IFERROR(__xludf.DUMMYFUNCTION("""COMPUTED_VALUE"""),0.0)</f>
        <v>0</v>
      </c>
    </row>
    <row r="2920">
      <c r="A2920" s="1">
        <f>IFERROR(__xludf.DUMMYFUNCTION("""COMPUTED_VALUE"""),673818.0)</f>
        <v>673818</v>
      </c>
      <c r="B2920" s="2">
        <f>IFERROR(__xludf.DUMMYFUNCTION("""COMPUTED_VALUE"""),42754.23550309968)</f>
        <v>42754.2355</v>
      </c>
      <c r="C2920" s="1" t="str">
        <f>IFERROR(__xludf.DUMMYFUNCTION("""COMPUTED_VALUE"""),"control")</f>
        <v>control</v>
      </c>
      <c r="D2920" s="1" t="str">
        <f>IFERROR(__xludf.DUMMYFUNCTION("""COMPUTED_VALUE"""),"old_page")</f>
        <v>old_page</v>
      </c>
      <c r="E2920" s="1">
        <f>IFERROR(__xludf.DUMMYFUNCTION("""COMPUTED_VALUE"""),0.0)</f>
        <v>0</v>
      </c>
    </row>
    <row r="2921">
      <c r="A2921" s="1">
        <f>IFERROR(__xludf.DUMMYFUNCTION("""COMPUTED_VALUE"""),756921.0)</f>
        <v>756921</v>
      </c>
      <c r="B2921" s="2">
        <f>IFERROR(__xludf.DUMMYFUNCTION("""COMPUTED_VALUE"""),42754.728349641344)</f>
        <v>42754.72835</v>
      </c>
      <c r="C2921" s="1" t="str">
        <f>IFERROR(__xludf.DUMMYFUNCTION("""COMPUTED_VALUE"""),"control")</f>
        <v>control</v>
      </c>
      <c r="D2921" s="1" t="str">
        <f>IFERROR(__xludf.DUMMYFUNCTION("""COMPUTED_VALUE"""),"old_page")</f>
        <v>old_page</v>
      </c>
      <c r="E2921" s="1">
        <f>IFERROR(__xludf.DUMMYFUNCTION("""COMPUTED_VALUE"""),0.0)</f>
        <v>0</v>
      </c>
    </row>
    <row r="2922">
      <c r="A2922" s="1">
        <f>IFERROR(__xludf.DUMMYFUNCTION("""COMPUTED_VALUE"""),861272.0)</f>
        <v>861272</v>
      </c>
      <c r="B2922" s="2">
        <f>IFERROR(__xludf.DUMMYFUNCTION("""COMPUTED_VALUE"""),42756.86787692711)</f>
        <v>42756.86788</v>
      </c>
      <c r="C2922" s="1" t="str">
        <f>IFERROR(__xludf.DUMMYFUNCTION("""COMPUTED_VALUE"""),"control")</f>
        <v>control</v>
      </c>
      <c r="D2922" s="1" t="str">
        <f>IFERROR(__xludf.DUMMYFUNCTION("""COMPUTED_VALUE"""),"old_page")</f>
        <v>old_page</v>
      </c>
      <c r="E2922" s="1">
        <f>IFERROR(__xludf.DUMMYFUNCTION("""COMPUTED_VALUE"""),0.0)</f>
        <v>0</v>
      </c>
    </row>
    <row r="2923">
      <c r="A2923" s="1">
        <f>IFERROR(__xludf.DUMMYFUNCTION("""COMPUTED_VALUE"""),757791.0)</f>
        <v>757791</v>
      </c>
      <c r="B2923" s="2">
        <f>IFERROR(__xludf.DUMMYFUNCTION("""COMPUTED_VALUE"""),42756.03967037847)</f>
        <v>42756.03967</v>
      </c>
      <c r="C2923" s="1" t="str">
        <f>IFERROR(__xludf.DUMMYFUNCTION("""COMPUTED_VALUE"""),"control")</f>
        <v>control</v>
      </c>
      <c r="D2923" s="1" t="str">
        <f>IFERROR(__xludf.DUMMYFUNCTION("""COMPUTED_VALUE"""),"old_page")</f>
        <v>old_page</v>
      </c>
      <c r="E2923" s="1">
        <f>IFERROR(__xludf.DUMMYFUNCTION("""COMPUTED_VALUE"""),0.0)</f>
        <v>0</v>
      </c>
    </row>
    <row r="2924">
      <c r="A2924" s="1">
        <f>IFERROR(__xludf.DUMMYFUNCTION("""COMPUTED_VALUE"""),693289.0)</f>
        <v>693289</v>
      </c>
      <c r="B2924" s="2">
        <f>IFERROR(__xludf.DUMMYFUNCTION("""COMPUTED_VALUE"""),42743.92266759058)</f>
        <v>42743.92267</v>
      </c>
      <c r="C2924" s="1" t="str">
        <f>IFERROR(__xludf.DUMMYFUNCTION("""COMPUTED_VALUE"""),"control")</f>
        <v>control</v>
      </c>
      <c r="D2924" s="1" t="str">
        <f>IFERROR(__xludf.DUMMYFUNCTION("""COMPUTED_VALUE"""),"old_page")</f>
        <v>old_page</v>
      </c>
      <c r="E2924" s="1">
        <f>IFERROR(__xludf.DUMMYFUNCTION("""COMPUTED_VALUE"""),0.0)</f>
        <v>0</v>
      </c>
    </row>
    <row r="2925">
      <c r="A2925" s="1">
        <f>IFERROR(__xludf.DUMMYFUNCTION("""COMPUTED_VALUE"""),944746.0)</f>
        <v>944746</v>
      </c>
      <c r="B2925" s="2">
        <f>IFERROR(__xludf.DUMMYFUNCTION("""COMPUTED_VALUE"""),42740.35189769179)</f>
        <v>42740.3519</v>
      </c>
      <c r="C2925" s="1" t="str">
        <f>IFERROR(__xludf.DUMMYFUNCTION("""COMPUTED_VALUE"""),"treatment")</f>
        <v>treatment</v>
      </c>
      <c r="D2925" s="1" t="str">
        <f>IFERROR(__xludf.DUMMYFUNCTION("""COMPUTED_VALUE"""),"new_page")</f>
        <v>new_page</v>
      </c>
      <c r="E2925" s="1">
        <f>IFERROR(__xludf.DUMMYFUNCTION("""COMPUTED_VALUE"""),0.0)</f>
        <v>0</v>
      </c>
    </row>
    <row r="2926">
      <c r="A2926" s="1">
        <f>IFERROR(__xludf.DUMMYFUNCTION("""COMPUTED_VALUE"""),673693.0)</f>
        <v>673693</v>
      </c>
      <c r="B2926" s="2">
        <f>IFERROR(__xludf.DUMMYFUNCTION("""COMPUTED_VALUE"""),42757.31419195479)</f>
        <v>42757.31419</v>
      </c>
      <c r="C2926" s="1" t="str">
        <f>IFERROR(__xludf.DUMMYFUNCTION("""COMPUTED_VALUE"""),"treatment")</f>
        <v>treatment</v>
      </c>
      <c r="D2926" s="1" t="str">
        <f>IFERROR(__xludf.DUMMYFUNCTION("""COMPUTED_VALUE"""),"new_page")</f>
        <v>new_page</v>
      </c>
      <c r="E2926" s="1">
        <f>IFERROR(__xludf.DUMMYFUNCTION("""COMPUTED_VALUE"""),0.0)</f>
        <v>0</v>
      </c>
    </row>
    <row r="2927">
      <c r="A2927" s="1">
        <f>IFERROR(__xludf.DUMMYFUNCTION("""COMPUTED_VALUE"""),750416.0)</f>
        <v>750416</v>
      </c>
      <c r="B2927" s="2">
        <f>IFERROR(__xludf.DUMMYFUNCTION("""COMPUTED_VALUE"""),42740.63443054329)</f>
        <v>42740.63443</v>
      </c>
      <c r="C2927" s="1" t="str">
        <f>IFERROR(__xludf.DUMMYFUNCTION("""COMPUTED_VALUE"""),"treatment")</f>
        <v>treatment</v>
      </c>
      <c r="D2927" s="1" t="str">
        <f>IFERROR(__xludf.DUMMYFUNCTION("""COMPUTED_VALUE"""),"new_page")</f>
        <v>new_page</v>
      </c>
      <c r="E2927" s="1">
        <f>IFERROR(__xludf.DUMMYFUNCTION("""COMPUTED_VALUE"""),0.0)</f>
        <v>0</v>
      </c>
    </row>
    <row r="2928">
      <c r="A2928" s="1">
        <f>IFERROR(__xludf.DUMMYFUNCTION("""COMPUTED_VALUE"""),830868.0)</f>
        <v>830868</v>
      </c>
      <c r="B2928" s="2">
        <f>IFERROR(__xludf.DUMMYFUNCTION("""COMPUTED_VALUE"""),42751.76263074808)</f>
        <v>42751.76263</v>
      </c>
      <c r="C2928" s="1" t="str">
        <f>IFERROR(__xludf.DUMMYFUNCTION("""COMPUTED_VALUE"""),"treatment")</f>
        <v>treatment</v>
      </c>
      <c r="D2928" s="1" t="str">
        <f>IFERROR(__xludf.DUMMYFUNCTION("""COMPUTED_VALUE"""),"new_page")</f>
        <v>new_page</v>
      </c>
      <c r="E2928" s="1">
        <f>IFERROR(__xludf.DUMMYFUNCTION("""COMPUTED_VALUE"""),0.0)</f>
        <v>0</v>
      </c>
    </row>
    <row r="2929">
      <c r="A2929" s="1">
        <f>IFERROR(__xludf.DUMMYFUNCTION("""COMPUTED_VALUE"""),743859.0)</f>
        <v>743859</v>
      </c>
      <c r="B2929" s="2">
        <f>IFERROR(__xludf.DUMMYFUNCTION("""COMPUTED_VALUE"""),42744.03465952125)</f>
        <v>42744.03466</v>
      </c>
      <c r="C2929" s="1" t="str">
        <f>IFERROR(__xludf.DUMMYFUNCTION("""COMPUTED_VALUE"""),"control")</f>
        <v>control</v>
      </c>
      <c r="D2929" s="1" t="str">
        <f>IFERROR(__xludf.DUMMYFUNCTION("""COMPUTED_VALUE"""),"old_page")</f>
        <v>old_page</v>
      </c>
      <c r="E2929" s="1">
        <f>IFERROR(__xludf.DUMMYFUNCTION("""COMPUTED_VALUE"""),0.0)</f>
        <v>0</v>
      </c>
    </row>
    <row r="2930">
      <c r="A2930" s="1">
        <f>IFERROR(__xludf.DUMMYFUNCTION("""COMPUTED_VALUE"""),857368.0)</f>
        <v>857368</v>
      </c>
      <c r="B2930" s="2">
        <f>IFERROR(__xludf.DUMMYFUNCTION("""COMPUTED_VALUE"""),42738.360284321054)</f>
        <v>42738.36028</v>
      </c>
      <c r="C2930" s="1" t="str">
        <f>IFERROR(__xludf.DUMMYFUNCTION("""COMPUTED_VALUE"""),"treatment")</f>
        <v>treatment</v>
      </c>
      <c r="D2930" s="1" t="str">
        <f>IFERROR(__xludf.DUMMYFUNCTION("""COMPUTED_VALUE"""),"new_page")</f>
        <v>new_page</v>
      </c>
      <c r="E2930" s="1">
        <f>IFERROR(__xludf.DUMMYFUNCTION("""COMPUTED_VALUE"""),0.0)</f>
        <v>0</v>
      </c>
    </row>
    <row r="2931">
      <c r="A2931" s="1">
        <f>IFERROR(__xludf.DUMMYFUNCTION("""COMPUTED_VALUE"""),667989.0)</f>
        <v>667989</v>
      </c>
      <c r="B2931" s="2">
        <f>IFERROR(__xludf.DUMMYFUNCTION("""COMPUTED_VALUE"""),42737.671809612104)</f>
        <v>42737.67181</v>
      </c>
      <c r="C2931" s="1" t="str">
        <f>IFERROR(__xludf.DUMMYFUNCTION("""COMPUTED_VALUE"""),"treatment")</f>
        <v>treatment</v>
      </c>
      <c r="D2931" s="1" t="str">
        <f>IFERROR(__xludf.DUMMYFUNCTION("""COMPUTED_VALUE"""),"new_page")</f>
        <v>new_page</v>
      </c>
      <c r="E2931" s="1">
        <f>IFERROR(__xludf.DUMMYFUNCTION("""COMPUTED_VALUE"""),0.0)</f>
        <v>0</v>
      </c>
    </row>
    <row r="2932">
      <c r="A2932" s="1">
        <f>IFERROR(__xludf.DUMMYFUNCTION("""COMPUTED_VALUE"""),730316.0)</f>
        <v>730316</v>
      </c>
      <c r="B2932" s="2">
        <f>IFERROR(__xludf.DUMMYFUNCTION("""COMPUTED_VALUE"""),42752.61224217684)</f>
        <v>42752.61224</v>
      </c>
      <c r="C2932" s="1" t="str">
        <f>IFERROR(__xludf.DUMMYFUNCTION("""COMPUTED_VALUE"""),"treatment")</f>
        <v>treatment</v>
      </c>
      <c r="D2932" s="1" t="str">
        <f>IFERROR(__xludf.DUMMYFUNCTION("""COMPUTED_VALUE"""),"new_page")</f>
        <v>new_page</v>
      </c>
      <c r="E2932" s="1">
        <f>IFERROR(__xludf.DUMMYFUNCTION("""COMPUTED_VALUE"""),0.0)</f>
        <v>0</v>
      </c>
    </row>
    <row r="2933">
      <c r="A2933" s="1">
        <f>IFERROR(__xludf.DUMMYFUNCTION("""COMPUTED_VALUE"""),785454.0)</f>
        <v>785454</v>
      </c>
      <c r="B2933" s="2">
        <f>IFERROR(__xludf.DUMMYFUNCTION("""COMPUTED_VALUE"""),42747.37481703696)</f>
        <v>42747.37482</v>
      </c>
      <c r="C2933" s="1" t="str">
        <f>IFERROR(__xludf.DUMMYFUNCTION("""COMPUTED_VALUE"""),"control")</f>
        <v>control</v>
      </c>
      <c r="D2933" s="1" t="str">
        <f>IFERROR(__xludf.DUMMYFUNCTION("""COMPUTED_VALUE"""),"old_page")</f>
        <v>old_page</v>
      </c>
      <c r="E2933" s="1">
        <f>IFERROR(__xludf.DUMMYFUNCTION("""COMPUTED_VALUE"""),0.0)</f>
        <v>0</v>
      </c>
    </row>
    <row r="2934">
      <c r="A2934" s="1">
        <f>IFERROR(__xludf.DUMMYFUNCTION("""COMPUTED_VALUE"""),842871.0)</f>
        <v>842871</v>
      </c>
      <c r="B2934" s="2">
        <f>IFERROR(__xludf.DUMMYFUNCTION("""COMPUTED_VALUE"""),42749.92449608582)</f>
        <v>42749.9245</v>
      </c>
      <c r="C2934" s="1" t="str">
        <f>IFERROR(__xludf.DUMMYFUNCTION("""COMPUTED_VALUE"""),"treatment")</f>
        <v>treatment</v>
      </c>
      <c r="D2934" s="1" t="str">
        <f>IFERROR(__xludf.DUMMYFUNCTION("""COMPUTED_VALUE"""),"new_page")</f>
        <v>new_page</v>
      </c>
      <c r="E2934" s="1">
        <f>IFERROR(__xludf.DUMMYFUNCTION("""COMPUTED_VALUE"""),1.0)</f>
        <v>1</v>
      </c>
    </row>
    <row r="2935">
      <c r="A2935" s="1">
        <f>IFERROR(__xludf.DUMMYFUNCTION("""COMPUTED_VALUE"""),938636.0)</f>
        <v>938636</v>
      </c>
      <c r="B2935" s="2">
        <f>IFERROR(__xludf.DUMMYFUNCTION("""COMPUTED_VALUE"""),42740.41285196435)</f>
        <v>42740.41285</v>
      </c>
      <c r="C2935" s="1" t="str">
        <f>IFERROR(__xludf.DUMMYFUNCTION("""COMPUTED_VALUE"""),"treatment")</f>
        <v>treatment</v>
      </c>
      <c r="D2935" s="1" t="str">
        <f>IFERROR(__xludf.DUMMYFUNCTION("""COMPUTED_VALUE"""),"new_page")</f>
        <v>new_page</v>
      </c>
      <c r="E2935" s="1">
        <f>IFERROR(__xludf.DUMMYFUNCTION("""COMPUTED_VALUE"""),0.0)</f>
        <v>0</v>
      </c>
    </row>
    <row r="2936">
      <c r="A2936" s="1">
        <f>IFERROR(__xludf.DUMMYFUNCTION("""COMPUTED_VALUE"""),757455.0)</f>
        <v>757455</v>
      </c>
      <c r="B2936" s="2">
        <f>IFERROR(__xludf.DUMMYFUNCTION("""COMPUTED_VALUE"""),42746.037152652105)</f>
        <v>42746.03715</v>
      </c>
      <c r="C2936" s="1" t="str">
        <f>IFERROR(__xludf.DUMMYFUNCTION("""COMPUTED_VALUE"""),"treatment")</f>
        <v>treatment</v>
      </c>
      <c r="D2936" s="1" t="str">
        <f>IFERROR(__xludf.DUMMYFUNCTION("""COMPUTED_VALUE"""),"new_page")</f>
        <v>new_page</v>
      </c>
      <c r="E2936" s="1">
        <f>IFERROR(__xludf.DUMMYFUNCTION("""COMPUTED_VALUE"""),0.0)</f>
        <v>0</v>
      </c>
    </row>
    <row r="2937">
      <c r="A2937" s="1">
        <f>IFERROR(__xludf.DUMMYFUNCTION("""COMPUTED_VALUE"""),742176.0)</f>
        <v>742176</v>
      </c>
      <c r="B2937" s="2">
        <f>IFERROR(__xludf.DUMMYFUNCTION("""COMPUTED_VALUE"""),42759.0379129431)</f>
        <v>42759.03791</v>
      </c>
      <c r="C2937" s="1" t="str">
        <f>IFERROR(__xludf.DUMMYFUNCTION("""COMPUTED_VALUE"""),"treatment")</f>
        <v>treatment</v>
      </c>
      <c r="D2937" s="1" t="str">
        <f>IFERROR(__xludf.DUMMYFUNCTION("""COMPUTED_VALUE"""),"new_page")</f>
        <v>new_page</v>
      </c>
      <c r="E2937" s="1">
        <f>IFERROR(__xludf.DUMMYFUNCTION("""COMPUTED_VALUE"""),0.0)</f>
        <v>0</v>
      </c>
    </row>
    <row r="2938">
      <c r="A2938" s="1">
        <f>IFERROR(__xludf.DUMMYFUNCTION("""COMPUTED_VALUE"""),849725.0)</f>
        <v>849725</v>
      </c>
      <c r="B2938" s="2">
        <f>IFERROR(__xludf.DUMMYFUNCTION("""COMPUTED_VALUE"""),42750.71240450067)</f>
        <v>42750.7124</v>
      </c>
      <c r="C2938" s="1" t="str">
        <f>IFERROR(__xludf.DUMMYFUNCTION("""COMPUTED_VALUE"""),"treatment")</f>
        <v>treatment</v>
      </c>
      <c r="D2938" s="1" t="str">
        <f>IFERROR(__xludf.DUMMYFUNCTION("""COMPUTED_VALUE"""),"new_page")</f>
        <v>new_page</v>
      </c>
      <c r="E2938" s="1">
        <f>IFERROR(__xludf.DUMMYFUNCTION("""COMPUTED_VALUE"""),0.0)</f>
        <v>0</v>
      </c>
    </row>
    <row r="2939">
      <c r="A2939" s="1">
        <f>IFERROR(__xludf.DUMMYFUNCTION("""COMPUTED_VALUE"""),879384.0)</f>
        <v>879384</v>
      </c>
      <c r="B2939" s="2">
        <f>IFERROR(__xludf.DUMMYFUNCTION("""COMPUTED_VALUE"""),42757.71955645027)</f>
        <v>42757.71956</v>
      </c>
      <c r="C2939" s="1" t="str">
        <f>IFERROR(__xludf.DUMMYFUNCTION("""COMPUTED_VALUE"""),"control")</f>
        <v>control</v>
      </c>
      <c r="D2939" s="1" t="str">
        <f>IFERROR(__xludf.DUMMYFUNCTION("""COMPUTED_VALUE"""),"old_page")</f>
        <v>old_page</v>
      </c>
      <c r="E2939" s="1">
        <f>IFERROR(__xludf.DUMMYFUNCTION("""COMPUTED_VALUE"""),0.0)</f>
        <v>0</v>
      </c>
    </row>
    <row r="2940">
      <c r="A2940" s="1">
        <f>IFERROR(__xludf.DUMMYFUNCTION("""COMPUTED_VALUE"""),694286.0)</f>
        <v>694286</v>
      </c>
      <c r="B2940" s="2">
        <f>IFERROR(__xludf.DUMMYFUNCTION("""COMPUTED_VALUE"""),42737.82091132248)</f>
        <v>42737.82091</v>
      </c>
      <c r="C2940" s="1" t="str">
        <f>IFERROR(__xludf.DUMMYFUNCTION("""COMPUTED_VALUE"""),"control")</f>
        <v>control</v>
      </c>
      <c r="D2940" s="1" t="str">
        <f>IFERROR(__xludf.DUMMYFUNCTION("""COMPUTED_VALUE"""),"old_page")</f>
        <v>old_page</v>
      </c>
      <c r="E2940" s="1">
        <f>IFERROR(__xludf.DUMMYFUNCTION("""COMPUTED_VALUE"""),0.0)</f>
        <v>0</v>
      </c>
    </row>
    <row r="2941">
      <c r="A2941" s="1">
        <f>IFERROR(__xludf.DUMMYFUNCTION("""COMPUTED_VALUE"""),642282.0)</f>
        <v>642282</v>
      </c>
      <c r="B2941" s="2">
        <f>IFERROR(__xludf.DUMMYFUNCTION("""COMPUTED_VALUE"""),42751.663185612844)</f>
        <v>42751.66319</v>
      </c>
      <c r="C2941" s="1" t="str">
        <f>IFERROR(__xludf.DUMMYFUNCTION("""COMPUTED_VALUE"""),"treatment")</f>
        <v>treatment</v>
      </c>
      <c r="D2941" s="1" t="str">
        <f>IFERROR(__xludf.DUMMYFUNCTION("""COMPUTED_VALUE"""),"new_page")</f>
        <v>new_page</v>
      </c>
      <c r="E2941" s="1">
        <f>IFERROR(__xludf.DUMMYFUNCTION("""COMPUTED_VALUE"""),0.0)</f>
        <v>0</v>
      </c>
    </row>
    <row r="2942">
      <c r="A2942" s="1">
        <f>IFERROR(__xludf.DUMMYFUNCTION("""COMPUTED_VALUE"""),740186.0)</f>
        <v>740186</v>
      </c>
      <c r="B2942" s="2">
        <f>IFERROR(__xludf.DUMMYFUNCTION("""COMPUTED_VALUE"""),42745.671535048066)</f>
        <v>42745.67154</v>
      </c>
      <c r="C2942" s="1" t="str">
        <f>IFERROR(__xludf.DUMMYFUNCTION("""COMPUTED_VALUE"""),"control")</f>
        <v>control</v>
      </c>
      <c r="D2942" s="1" t="str">
        <f>IFERROR(__xludf.DUMMYFUNCTION("""COMPUTED_VALUE"""),"old_page")</f>
        <v>old_page</v>
      </c>
      <c r="E2942" s="1">
        <f>IFERROR(__xludf.DUMMYFUNCTION("""COMPUTED_VALUE"""),0.0)</f>
        <v>0</v>
      </c>
    </row>
    <row r="2943">
      <c r="A2943" s="1">
        <f>IFERROR(__xludf.DUMMYFUNCTION("""COMPUTED_VALUE"""),939951.0)</f>
        <v>939951</v>
      </c>
      <c r="B2943" s="2">
        <f>IFERROR(__xludf.DUMMYFUNCTION("""COMPUTED_VALUE"""),42758.71283379562)</f>
        <v>42758.71283</v>
      </c>
      <c r="C2943" s="1" t="str">
        <f>IFERROR(__xludf.DUMMYFUNCTION("""COMPUTED_VALUE"""),"control")</f>
        <v>control</v>
      </c>
      <c r="D2943" s="1" t="str">
        <f>IFERROR(__xludf.DUMMYFUNCTION("""COMPUTED_VALUE"""),"old_page")</f>
        <v>old_page</v>
      </c>
      <c r="E2943" s="1">
        <f>IFERROR(__xludf.DUMMYFUNCTION("""COMPUTED_VALUE"""),1.0)</f>
        <v>1</v>
      </c>
    </row>
    <row r="2944">
      <c r="A2944" s="1">
        <f>IFERROR(__xludf.DUMMYFUNCTION("""COMPUTED_VALUE"""),924584.0)</f>
        <v>924584</v>
      </c>
      <c r="B2944" s="2">
        <f>IFERROR(__xludf.DUMMYFUNCTION("""COMPUTED_VALUE"""),42747.0833835948)</f>
        <v>42747.08338</v>
      </c>
      <c r="C2944" s="1" t="str">
        <f>IFERROR(__xludf.DUMMYFUNCTION("""COMPUTED_VALUE"""),"control")</f>
        <v>control</v>
      </c>
      <c r="D2944" s="1" t="str">
        <f>IFERROR(__xludf.DUMMYFUNCTION("""COMPUTED_VALUE"""),"old_page")</f>
        <v>old_page</v>
      </c>
      <c r="E2944" s="1">
        <f>IFERROR(__xludf.DUMMYFUNCTION("""COMPUTED_VALUE"""),0.0)</f>
        <v>0</v>
      </c>
    </row>
    <row r="2945">
      <c r="A2945" s="1">
        <f>IFERROR(__xludf.DUMMYFUNCTION("""COMPUTED_VALUE"""),853094.0)</f>
        <v>853094</v>
      </c>
      <c r="B2945" s="2">
        <f>IFERROR(__xludf.DUMMYFUNCTION("""COMPUTED_VALUE"""),42757.183089067636)</f>
        <v>42757.18309</v>
      </c>
      <c r="C2945" s="1" t="str">
        <f>IFERROR(__xludf.DUMMYFUNCTION("""COMPUTED_VALUE"""),"treatment")</f>
        <v>treatment</v>
      </c>
      <c r="D2945" s="1" t="str">
        <f>IFERROR(__xludf.DUMMYFUNCTION("""COMPUTED_VALUE"""),"new_page")</f>
        <v>new_page</v>
      </c>
      <c r="E2945" s="1">
        <f>IFERROR(__xludf.DUMMYFUNCTION("""COMPUTED_VALUE"""),0.0)</f>
        <v>0</v>
      </c>
    </row>
    <row r="2946">
      <c r="A2946" s="1">
        <f>IFERROR(__xludf.DUMMYFUNCTION("""COMPUTED_VALUE"""),721588.0)</f>
        <v>721588</v>
      </c>
      <c r="B2946" s="2">
        <f>IFERROR(__xludf.DUMMYFUNCTION("""COMPUTED_VALUE"""),42753.600732436345)</f>
        <v>42753.60073</v>
      </c>
      <c r="C2946" s="1" t="str">
        <f>IFERROR(__xludf.DUMMYFUNCTION("""COMPUTED_VALUE"""),"treatment")</f>
        <v>treatment</v>
      </c>
      <c r="D2946" s="1" t="str">
        <f>IFERROR(__xludf.DUMMYFUNCTION("""COMPUTED_VALUE"""),"new_page")</f>
        <v>new_page</v>
      </c>
      <c r="E2946" s="1">
        <f>IFERROR(__xludf.DUMMYFUNCTION("""COMPUTED_VALUE"""),1.0)</f>
        <v>1</v>
      </c>
    </row>
    <row r="2947">
      <c r="A2947" s="1">
        <f>IFERROR(__xludf.DUMMYFUNCTION("""COMPUTED_VALUE"""),784808.0)</f>
        <v>784808</v>
      </c>
      <c r="B2947" s="2">
        <f>IFERROR(__xludf.DUMMYFUNCTION("""COMPUTED_VALUE"""),42739.11994335846)</f>
        <v>42739.11994</v>
      </c>
      <c r="C2947" s="1" t="str">
        <f>IFERROR(__xludf.DUMMYFUNCTION("""COMPUTED_VALUE"""),"control")</f>
        <v>control</v>
      </c>
      <c r="D2947" s="1" t="str">
        <f>IFERROR(__xludf.DUMMYFUNCTION("""COMPUTED_VALUE"""),"old_page")</f>
        <v>old_page</v>
      </c>
      <c r="E2947" s="1">
        <f>IFERROR(__xludf.DUMMYFUNCTION("""COMPUTED_VALUE"""),1.0)</f>
        <v>1</v>
      </c>
    </row>
    <row r="2948">
      <c r="A2948" s="1">
        <f>IFERROR(__xludf.DUMMYFUNCTION("""COMPUTED_VALUE"""),842094.0)</f>
        <v>842094</v>
      </c>
      <c r="B2948" s="2">
        <f>IFERROR(__xludf.DUMMYFUNCTION("""COMPUTED_VALUE"""),42749.47459003879)</f>
        <v>42749.47459</v>
      </c>
      <c r="C2948" s="1" t="str">
        <f>IFERROR(__xludf.DUMMYFUNCTION("""COMPUTED_VALUE"""),"treatment")</f>
        <v>treatment</v>
      </c>
      <c r="D2948" s="1" t="str">
        <f>IFERROR(__xludf.DUMMYFUNCTION("""COMPUTED_VALUE"""),"new_page")</f>
        <v>new_page</v>
      </c>
      <c r="E2948" s="1">
        <f>IFERROR(__xludf.DUMMYFUNCTION("""COMPUTED_VALUE"""),0.0)</f>
        <v>0</v>
      </c>
    </row>
    <row r="2949">
      <c r="A2949" s="1">
        <f>IFERROR(__xludf.DUMMYFUNCTION("""COMPUTED_VALUE"""),847673.0)</f>
        <v>847673</v>
      </c>
      <c r="B2949" s="2">
        <f>IFERROR(__xludf.DUMMYFUNCTION("""COMPUTED_VALUE"""),42742.781299225266)</f>
        <v>42742.7813</v>
      </c>
      <c r="C2949" s="1" t="str">
        <f>IFERROR(__xludf.DUMMYFUNCTION("""COMPUTED_VALUE"""),"control")</f>
        <v>control</v>
      </c>
      <c r="D2949" s="1" t="str">
        <f>IFERROR(__xludf.DUMMYFUNCTION("""COMPUTED_VALUE"""),"new_page")</f>
        <v>new_page</v>
      </c>
      <c r="E2949" s="1">
        <f>IFERROR(__xludf.DUMMYFUNCTION("""COMPUTED_VALUE"""),1.0)</f>
        <v>1</v>
      </c>
    </row>
    <row r="2950">
      <c r="A2950" s="1">
        <f>IFERROR(__xludf.DUMMYFUNCTION("""COMPUTED_VALUE"""),761246.0)</f>
        <v>761246</v>
      </c>
      <c r="B2950" s="2">
        <f>IFERROR(__xludf.DUMMYFUNCTION("""COMPUTED_VALUE"""),42758.23959798735)</f>
        <v>42758.2396</v>
      </c>
      <c r="C2950" s="1" t="str">
        <f>IFERROR(__xludf.DUMMYFUNCTION("""COMPUTED_VALUE"""),"treatment")</f>
        <v>treatment</v>
      </c>
      <c r="D2950" s="1" t="str">
        <f>IFERROR(__xludf.DUMMYFUNCTION("""COMPUTED_VALUE"""),"new_page")</f>
        <v>new_page</v>
      </c>
      <c r="E2950" s="1">
        <f>IFERROR(__xludf.DUMMYFUNCTION("""COMPUTED_VALUE"""),0.0)</f>
        <v>0</v>
      </c>
    </row>
    <row r="2951">
      <c r="A2951" s="1">
        <f>IFERROR(__xludf.DUMMYFUNCTION("""COMPUTED_VALUE"""),645240.0)</f>
        <v>645240</v>
      </c>
      <c r="B2951" s="2">
        <f>IFERROR(__xludf.DUMMYFUNCTION("""COMPUTED_VALUE"""),42744.98076798641)</f>
        <v>42744.98077</v>
      </c>
      <c r="C2951" s="1" t="str">
        <f>IFERROR(__xludf.DUMMYFUNCTION("""COMPUTED_VALUE"""),"treatment")</f>
        <v>treatment</v>
      </c>
      <c r="D2951" s="1" t="str">
        <f>IFERROR(__xludf.DUMMYFUNCTION("""COMPUTED_VALUE"""),"new_page")</f>
        <v>new_page</v>
      </c>
      <c r="E2951" s="1">
        <f>IFERROR(__xludf.DUMMYFUNCTION("""COMPUTED_VALUE"""),0.0)</f>
        <v>0</v>
      </c>
    </row>
    <row r="2952">
      <c r="A2952" s="1">
        <f>IFERROR(__xludf.DUMMYFUNCTION("""COMPUTED_VALUE"""),661690.0)</f>
        <v>661690</v>
      </c>
      <c r="B2952" s="2">
        <f>IFERROR(__xludf.DUMMYFUNCTION("""COMPUTED_VALUE"""),42753.385664621)</f>
        <v>42753.38566</v>
      </c>
      <c r="C2952" s="1" t="str">
        <f>IFERROR(__xludf.DUMMYFUNCTION("""COMPUTED_VALUE"""),"control")</f>
        <v>control</v>
      </c>
      <c r="D2952" s="1" t="str">
        <f>IFERROR(__xludf.DUMMYFUNCTION("""COMPUTED_VALUE"""),"old_page")</f>
        <v>old_page</v>
      </c>
      <c r="E2952" s="1">
        <f>IFERROR(__xludf.DUMMYFUNCTION("""COMPUTED_VALUE"""),0.0)</f>
        <v>0</v>
      </c>
    </row>
    <row r="2953">
      <c r="A2953" s="1">
        <f>IFERROR(__xludf.DUMMYFUNCTION("""COMPUTED_VALUE"""),904516.0)</f>
        <v>904516</v>
      </c>
      <c r="B2953" s="2">
        <f>IFERROR(__xludf.DUMMYFUNCTION("""COMPUTED_VALUE"""),42753.951933228855)</f>
        <v>42753.95193</v>
      </c>
      <c r="C2953" s="1" t="str">
        <f>IFERROR(__xludf.DUMMYFUNCTION("""COMPUTED_VALUE"""),"treatment")</f>
        <v>treatment</v>
      </c>
      <c r="D2953" s="1" t="str">
        <f>IFERROR(__xludf.DUMMYFUNCTION("""COMPUTED_VALUE"""),"new_page")</f>
        <v>new_page</v>
      </c>
      <c r="E2953" s="1">
        <f>IFERROR(__xludf.DUMMYFUNCTION("""COMPUTED_VALUE"""),0.0)</f>
        <v>0</v>
      </c>
    </row>
    <row r="2954">
      <c r="A2954" s="1">
        <f>IFERROR(__xludf.DUMMYFUNCTION("""COMPUTED_VALUE"""),718262.0)</f>
        <v>718262</v>
      </c>
      <c r="B2954" s="2">
        <f>IFERROR(__xludf.DUMMYFUNCTION("""COMPUTED_VALUE"""),42758.58866757773)</f>
        <v>42758.58867</v>
      </c>
      <c r="C2954" s="1" t="str">
        <f>IFERROR(__xludf.DUMMYFUNCTION("""COMPUTED_VALUE"""),"control")</f>
        <v>control</v>
      </c>
      <c r="D2954" s="1" t="str">
        <f>IFERROR(__xludf.DUMMYFUNCTION("""COMPUTED_VALUE"""),"old_page")</f>
        <v>old_page</v>
      </c>
      <c r="E2954" s="1">
        <f>IFERROR(__xludf.DUMMYFUNCTION("""COMPUTED_VALUE"""),0.0)</f>
        <v>0</v>
      </c>
    </row>
    <row r="2955">
      <c r="A2955" s="1">
        <f>IFERROR(__xludf.DUMMYFUNCTION("""COMPUTED_VALUE"""),746026.0)</f>
        <v>746026</v>
      </c>
      <c r="B2955" s="2">
        <f>IFERROR(__xludf.DUMMYFUNCTION("""COMPUTED_VALUE"""),42748.01376468666)</f>
        <v>42748.01376</v>
      </c>
      <c r="C2955" s="1" t="str">
        <f>IFERROR(__xludf.DUMMYFUNCTION("""COMPUTED_VALUE"""),"control")</f>
        <v>control</v>
      </c>
      <c r="D2955" s="1" t="str">
        <f>IFERROR(__xludf.DUMMYFUNCTION("""COMPUTED_VALUE"""),"old_page")</f>
        <v>old_page</v>
      </c>
      <c r="E2955" s="1">
        <f>IFERROR(__xludf.DUMMYFUNCTION("""COMPUTED_VALUE"""),0.0)</f>
        <v>0</v>
      </c>
    </row>
    <row r="2956">
      <c r="A2956" s="1">
        <f>IFERROR(__xludf.DUMMYFUNCTION("""COMPUTED_VALUE"""),699064.0)</f>
        <v>699064</v>
      </c>
      <c r="B2956" s="2">
        <f>IFERROR(__xludf.DUMMYFUNCTION("""COMPUTED_VALUE"""),42747.628178459374)</f>
        <v>42747.62818</v>
      </c>
      <c r="C2956" s="1" t="str">
        <f>IFERROR(__xludf.DUMMYFUNCTION("""COMPUTED_VALUE"""),"treatment")</f>
        <v>treatment</v>
      </c>
      <c r="D2956" s="1" t="str">
        <f>IFERROR(__xludf.DUMMYFUNCTION("""COMPUTED_VALUE"""),"new_page")</f>
        <v>new_page</v>
      </c>
      <c r="E2956" s="1">
        <f>IFERROR(__xludf.DUMMYFUNCTION("""COMPUTED_VALUE"""),0.0)</f>
        <v>0</v>
      </c>
    </row>
    <row r="2957">
      <c r="A2957" s="1">
        <f>IFERROR(__xludf.DUMMYFUNCTION("""COMPUTED_VALUE"""),745258.0)</f>
        <v>745258</v>
      </c>
      <c r="B2957" s="2">
        <f>IFERROR(__xludf.DUMMYFUNCTION("""COMPUTED_VALUE"""),42757.49353364096)</f>
        <v>42757.49353</v>
      </c>
      <c r="C2957" s="1" t="str">
        <f>IFERROR(__xludf.DUMMYFUNCTION("""COMPUTED_VALUE"""),"treatment")</f>
        <v>treatment</v>
      </c>
      <c r="D2957" s="1" t="str">
        <f>IFERROR(__xludf.DUMMYFUNCTION("""COMPUTED_VALUE"""),"new_page")</f>
        <v>new_page</v>
      </c>
      <c r="E2957" s="1">
        <f>IFERROR(__xludf.DUMMYFUNCTION("""COMPUTED_VALUE"""),0.0)</f>
        <v>0</v>
      </c>
    </row>
    <row r="2958">
      <c r="A2958" s="1">
        <f>IFERROR(__xludf.DUMMYFUNCTION("""COMPUTED_VALUE"""),833013.0)</f>
        <v>833013</v>
      </c>
      <c r="B2958" s="2">
        <f>IFERROR(__xludf.DUMMYFUNCTION("""COMPUTED_VALUE"""),42748.272054432746)</f>
        <v>42748.27205</v>
      </c>
      <c r="C2958" s="1" t="str">
        <f>IFERROR(__xludf.DUMMYFUNCTION("""COMPUTED_VALUE"""),"control")</f>
        <v>control</v>
      </c>
      <c r="D2958" s="1" t="str">
        <f>IFERROR(__xludf.DUMMYFUNCTION("""COMPUTED_VALUE"""),"old_page")</f>
        <v>old_page</v>
      </c>
      <c r="E2958" s="1">
        <f>IFERROR(__xludf.DUMMYFUNCTION("""COMPUTED_VALUE"""),0.0)</f>
        <v>0</v>
      </c>
    </row>
    <row r="2959">
      <c r="A2959" s="1">
        <f>IFERROR(__xludf.DUMMYFUNCTION("""COMPUTED_VALUE"""),812587.0)</f>
        <v>812587</v>
      </c>
      <c r="B2959" s="2">
        <f>IFERROR(__xludf.DUMMYFUNCTION("""COMPUTED_VALUE"""),42749.368615397594)</f>
        <v>42749.36862</v>
      </c>
      <c r="C2959" s="1" t="str">
        <f>IFERROR(__xludf.DUMMYFUNCTION("""COMPUTED_VALUE"""),"control")</f>
        <v>control</v>
      </c>
      <c r="D2959" s="1" t="str">
        <f>IFERROR(__xludf.DUMMYFUNCTION("""COMPUTED_VALUE"""),"old_page")</f>
        <v>old_page</v>
      </c>
      <c r="E2959" s="1">
        <f>IFERROR(__xludf.DUMMYFUNCTION("""COMPUTED_VALUE"""),1.0)</f>
        <v>1</v>
      </c>
    </row>
    <row r="2960">
      <c r="A2960" s="1">
        <f>IFERROR(__xludf.DUMMYFUNCTION("""COMPUTED_VALUE"""),813567.0)</f>
        <v>813567</v>
      </c>
      <c r="B2960" s="2">
        <f>IFERROR(__xludf.DUMMYFUNCTION("""COMPUTED_VALUE"""),42754.9465683752)</f>
        <v>42754.94657</v>
      </c>
      <c r="C2960" s="1" t="str">
        <f>IFERROR(__xludf.DUMMYFUNCTION("""COMPUTED_VALUE"""),"treatment")</f>
        <v>treatment</v>
      </c>
      <c r="D2960" s="1" t="str">
        <f>IFERROR(__xludf.DUMMYFUNCTION("""COMPUTED_VALUE"""),"new_page")</f>
        <v>new_page</v>
      </c>
      <c r="E2960" s="1">
        <f>IFERROR(__xludf.DUMMYFUNCTION("""COMPUTED_VALUE"""),0.0)</f>
        <v>0</v>
      </c>
    </row>
    <row r="2961">
      <c r="A2961" s="1">
        <f>IFERROR(__xludf.DUMMYFUNCTION("""COMPUTED_VALUE"""),848702.0)</f>
        <v>848702</v>
      </c>
      <c r="B2961" s="2">
        <f>IFERROR(__xludf.DUMMYFUNCTION("""COMPUTED_VALUE"""),42758.1540695173)</f>
        <v>42758.15407</v>
      </c>
      <c r="C2961" s="1" t="str">
        <f>IFERROR(__xludf.DUMMYFUNCTION("""COMPUTED_VALUE"""),"control")</f>
        <v>control</v>
      </c>
      <c r="D2961" s="1" t="str">
        <f>IFERROR(__xludf.DUMMYFUNCTION("""COMPUTED_VALUE"""),"old_page")</f>
        <v>old_page</v>
      </c>
      <c r="E2961" s="1">
        <f>IFERROR(__xludf.DUMMYFUNCTION("""COMPUTED_VALUE"""),0.0)</f>
        <v>0</v>
      </c>
    </row>
    <row r="2962">
      <c r="A2962" s="1">
        <f>IFERROR(__xludf.DUMMYFUNCTION("""COMPUTED_VALUE"""),713036.0)</f>
        <v>713036</v>
      </c>
      <c r="B2962" s="2">
        <f>IFERROR(__xludf.DUMMYFUNCTION("""COMPUTED_VALUE"""),42745.529398253035)</f>
        <v>42745.5294</v>
      </c>
      <c r="C2962" s="1" t="str">
        <f>IFERROR(__xludf.DUMMYFUNCTION("""COMPUTED_VALUE"""),"treatment")</f>
        <v>treatment</v>
      </c>
      <c r="D2962" s="1" t="str">
        <f>IFERROR(__xludf.DUMMYFUNCTION("""COMPUTED_VALUE"""),"new_page")</f>
        <v>new_page</v>
      </c>
      <c r="E2962" s="1">
        <f>IFERROR(__xludf.DUMMYFUNCTION("""COMPUTED_VALUE"""),0.0)</f>
        <v>0</v>
      </c>
    </row>
    <row r="2963">
      <c r="A2963" s="1">
        <f>IFERROR(__xludf.DUMMYFUNCTION("""COMPUTED_VALUE"""),922341.0)</f>
        <v>922341</v>
      </c>
      <c r="B2963" s="2">
        <f>IFERROR(__xludf.DUMMYFUNCTION("""COMPUTED_VALUE"""),42755.92335743835)</f>
        <v>42755.92336</v>
      </c>
      <c r="C2963" s="1" t="str">
        <f>IFERROR(__xludf.DUMMYFUNCTION("""COMPUTED_VALUE"""),"treatment")</f>
        <v>treatment</v>
      </c>
      <c r="D2963" s="1" t="str">
        <f>IFERROR(__xludf.DUMMYFUNCTION("""COMPUTED_VALUE"""),"new_page")</f>
        <v>new_page</v>
      </c>
      <c r="E2963" s="1">
        <f>IFERROR(__xludf.DUMMYFUNCTION("""COMPUTED_VALUE"""),0.0)</f>
        <v>0</v>
      </c>
    </row>
    <row r="2964">
      <c r="A2964" s="1">
        <f>IFERROR(__xludf.DUMMYFUNCTION("""COMPUTED_VALUE"""),908598.0)</f>
        <v>908598</v>
      </c>
      <c r="B2964" s="2">
        <f>IFERROR(__xludf.DUMMYFUNCTION("""COMPUTED_VALUE"""),42751.73404924189)</f>
        <v>42751.73405</v>
      </c>
      <c r="C2964" s="1" t="str">
        <f>IFERROR(__xludf.DUMMYFUNCTION("""COMPUTED_VALUE"""),"treatment")</f>
        <v>treatment</v>
      </c>
      <c r="D2964" s="1" t="str">
        <f>IFERROR(__xludf.DUMMYFUNCTION("""COMPUTED_VALUE"""),"new_page")</f>
        <v>new_page</v>
      </c>
      <c r="E2964" s="1">
        <f>IFERROR(__xludf.DUMMYFUNCTION("""COMPUTED_VALUE"""),0.0)</f>
        <v>0</v>
      </c>
    </row>
    <row r="2965">
      <c r="A2965" s="1">
        <f>IFERROR(__xludf.DUMMYFUNCTION("""COMPUTED_VALUE"""),816615.0)</f>
        <v>816615</v>
      </c>
      <c r="B2965" s="2">
        <f>IFERROR(__xludf.DUMMYFUNCTION("""COMPUTED_VALUE"""),42754.01860652939)</f>
        <v>42754.01861</v>
      </c>
      <c r="C2965" s="1" t="str">
        <f>IFERROR(__xludf.DUMMYFUNCTION("""COMPUTED_VALUE"""),"treatment")</f>
        <v>treatment</v>
      </c>
      <c r="D2965" s="1" t="str">
        <f>IFERROR(__xludf.DUMMYFUNCTION("""COMPUTED_VALUE"""),"new_page")</f>
        <v>new_page</v>
      </c>
      <c r="E2965" s="1">
        <f>IFERROR(__xludf.DUMMYFUNCTION("""COMPUTED_VALUE"""),1.0)</f>
        <v>1</v>
      </c>
    </row>
    <row r="2966">
      <c r="A2966" s="1">
        <f>IFERROR(__xludf.DUMMYFUNCTION("""COMPUTED_VALUE"""),671955.0)</f>
        <v>671955</v>
      </c>
      <c r="B2966" s="2">
        <f>IFERROR(__xludf.DUMMYFUNCTION("""COMPUTED_VALUE"""),42756.861914935835)</f>
        <v>42756.86191</v>
      </c>
      <c r="C2966" s="1" t="str">
        <f>IFERROR(__xludf.DUMMYFUNCTION("""COMPUTED_VALUE"""),"control")</f>
        <v>control</v>
      </c>
      <c r="D2966" s="1" t="str">
        <f>IFERROR(__xludf.DUMMYFUNCTION("""COMPUTED_VALUE"""),"old_page")</f>
        <v>old_page</v>
      </c>
      <c r="E2966" s="1">
        <f>IFERROR(__xludf.DUMMYFUNCTION("""COMPUTED_VALUE"""),0.0)</f>
        <v>0</v>
      </c>
    </row>
    <row r="2967">
      <c r="A2967" s="1">
        <f>IFERROR(__xludf.DUMMYFUNCTION("""COMPUTED_VALUE"""),836731.0)</f>
        <v>836731</v>
      </c>
      <c r="B2967" s="2">
        <f>IFERROR(__xludf.DUMMYFUNCTION("""COMPUTED_VALUE"""),42759.5528920314)</f>
        <v>42759.55289</v>
      </c>
      <c r="C2967" s="1" t="str">
        <f>IFERROR(__xludf.DUMMYFUNCTION("""COMPUTED_VALUE"""),"treatment")</f>
        <v>treatment</v>
      </c>
      <c r="D2967" s="1" t="str">
        <f>IFERROR(__xludf.DUMMYFUNCTION("""COMPUTED_VALUE"""),"new_page")</f>
        <v>new_page</v>
      </c>
      <c r="E2967" s="1">
        <f>IFERROR(__xludf.DUMMYFUNCTION("""COMPUTED_VALUE"""),0.0)</f>
        <v>0</v>
      </c>
    </row>
    <row r="2968">
      <c r="A2968" s="1">
        <f>IFERROR(__xludf.DUMMYFUNCTION("""COMPUTED_VALUE"""),776319.0)</f>
        <v>776319</v>
      </c>
      <c r="B2968" s="2">
        <f>IFERROR(__xludf.DUMMYFUNCTION("""COMPUTED_VALUE"""),42753.29191005899)</f>
        <v>42753.29191</v>
      </c>
      <c r="C2968" s="1" t="str">
        <f>IFERROR(__xludf.DUMMYFUNCTION("""COMPUTED_VALUE"""),"control")</f>
        <v>control</v>
      </c>
      <c r="D2968" s="1" t="str">
        <f>IFERROR(__xludf.DUMMYFUNCTION("""COMPUTED_VALUE"""),"old_page")</f>
        <v>old_page</v>
      </c>
      <c r="E2968" s="1">
        <f>IFERROR(__xludf.DUMMYFUNCTION("""COMPUTED_VALUE"""),0.0)</f>
        <v>0</v>
      </c>
    </row>
    <row r="2969">
      <c r="A2969" s="1">
        <f>IFERROR(__xludf.DUMMYFUNCTION("""COMPUTED_VALUE"""),702832.0)</f>
        <v>702832</v>
      </c>
      <c r="B2969" s="2">
        <f>IFERROR(__xludf.DUMMYFUNCTION("""COMPUTED_VALUE"""),42744.643043914315)</f>
        <v>42744.64304</v>
      </c>
      <c r="C2969" s="1" t="str">
        <f>IFERROR(__xludf.DUMMYFUNCTION("""COMPUTED_VALUE"""),"treatment")</f>
        <v>treatment</v>
      </c>
      <c r="D2969" s="1" t="str">
        <f>IFERROR(__xludf.DUMMYFUNCTION("""COMPUTED_VALUE"""),"new_page")</f>
        <v>new_page</v>
      </c>
      <c r="E2969" s="1">
        <f>IFERROR(__xludf.DUMMYFUNCTION("""COMPUTED_VALUE"""),0.0)</f>
        <v>0</v>
      </c>
    </row>
    <row r="2970">
      <c r="A2970" s="1">
        <f>IFERROR(__xludf.DUMMYFUNCTION("""COMPUTED_VALUE"""),878920.0)</f>
        <v>878920</v>
      </c>
      <c r="B2970" s="2">
        <f>IFERROR(__xludf.DUMMYFUNCTION("""COMPUTED_VALUE"""),42737.86702240385)</f>
        <v>42737.86702</v>
      </c>
      <c r="C2970" s="1" t="str">
        <f>IFERROR(__xludf.DUMMYFUNCTION("""COMPUTED_VALUE"""),"control")</f>
        <v>control</v>
      </c>
      <c r="D2970" s="1" t="str">
        <f>IFERROR(__xludf.DUMMYFUNCTION("""COMPUTED_VALUE"""),"old_page")</f>
        <v>old_page</v>
      </c>
      <c r="E2970" s="1">
        <f>IFERROR(__xludf.DUMMYFUNCTION("""COMPUTED_VALUE"""),0.0)</f>
        <v>0</v>
      </c>
    </row>
    <row r="2971">
      <c r="A2971" s="1">
        <f>IFERROR(__xludf.DUMMYFUNCTION("""COMPUTED_VALUE"""),680314.0)</f>
        <v>680314</v>
      </c>
      <c r="B2971" s="2">
        <f>IFERROR(__xludf.DUMMYFUNCTION("""COMPUTED_VALUE"""),42751.54487483513)</f>
        <v>42751.54487</v>
      </c>
      <c r="C2971" s="1" t="str">
        <f>IFERROR(__xludf.DUMMYFUNCTION("""COMPUTED_VALUE"""),"control")</f>
        <v>control</v>
      </c>
      <c r="D2971" s="1" t="str">
        <f>IFERROR(__xludf.DUMMYFUNCTION("""COMPUTED_VALUE"""),"old_page")</f>
        <v>old_page</v>
      </c>
      <c r="E2971" s="1">
        <f>IFERROR(__xludf.DUMMYFUNCTION("""COMPUTED_VALUE"""),1.0)</f>
        <v>1</v>
      </c>
    </row>
    <row r="2972">
      <c r="A2972" s="1">
        <f>IFERROR(__xludf.DUMMYFUNCTION("""COMPUTED_VALUE"""),899903.0)</f>
        <v>899903</v>
      </c>
      <c r="B2972" s="2">
        <f>IFERROR(__xludf.DUMMYFUNCTION("""COMPUTED_VALUE"""),42743.84399846418)</f>
        <v>42743.844</v>
      </c>
      <c r="C2972" s="1" t="str">
        <f>IFERROR(__xludf.DUMMYFUNCTION("""COMPUTED_VALUE"""),"treatment")</f>
        <v>treatment</v>
      </c>
      <c r="D2972" s="1" t="str">
        <f>IFERROR(__xludf.DUMMYFUNCTION("""COMPUTED_VALUE"""),"new_page")</f>
        <v>new_page</v>
      </c>
      <c r="E2972" s="1">
        <f>IFERROR(__xludf.DUMMYFUNCTION("""COMPUTED_VALUE"""),0.0)</f>
        <v>0</v>
      </c>
    </row>
    <row r="2973">
      <c r="A2973" s="1">
        <f>IFERROR(__xludf.DUMMYFUNCTION("""COMPUTED_VALUE"""),737308.0)</f>
        <v>737308</v>
      </c>
      <c r="B2973" s="2">
        <f>IFERROR(__xludf.DUMMYFUNCTION("""COMPUTED_VALUE"""),42747.6214793461)</f>
        <v>42747.62148</v>
      </c>
      <c r="C2973" s="1" t="str">
        <f>IFERROR(__xludf.DUMMYFUNCTION("""COMPUTED_VALUE"""),"treatment")</f>
        <v>treatment</v>
      </c>
      <c r="D2973" s="1" t="str">
        <f>IFERROR(__xludf.DUMMYFUNCTION("""COMPUTED_VALUE"""),"new_page")</f>
        <v>new_page</v>
      </c>
      <c r="E2973" s="1">
        <f>IFERROR(__xludf.DUMMYFUNCTION("""COMPUTED_VALUE"""),0.0)</f>
        <v>0</v>
      </c>
    </row>
    <row r="2974">
      <c r="A2974" s="1">
        <f>IFERROR(__xludf.DUMMYFUNCTION("""COMPUTED_VALUE"""),835056.0)</f>
        <v>835056</v>
      </c>
      <c r="B2974" s="2">
        <f>IFERROR(__xludf.DUMMYFUNCTION("""COMPUTED_VALUE"""),42756.76916584625)</f>
        <v>42756.76917</v>
      </c>
      <c r="C2974" s="1" t="str">
        <f>IFERROR(__xludf.DUMMYFUNCTION("""COMPUTED_VALUE"""),"control")</f>
        <v>control</v>
      </c>
      <c r="D2974" s="1" t="str">
        <f>IFERROR(__xludf.DUMMYFUNCTION("""COMPUTED_VALUE"""),"old_page")</f>
        <v>old_page</v>
      </c>
      <c r="E2974" s="1">
        <f>IFERROR(__xludf.DUMMYFUNCTION("""COMPUTED_VALUE"""),0.0)</f>
        <v>0</v>
      </c>
    </row>
    <row r="2975">
      <c r="A2975" s="1">
        <f>IFERROR(__xludf.DUMMYFUNCTION("""COMPUTED_VALUE"""),892671.0)</f>
        <v>892671</v>
      </c>
      <c r="B2975" s="2">
        <f>IFERROR(__xludf.DUMMYFUNCTION("""COMPUTED_VALUE"""),42751.611945954086)</f>
        <v>42751.61195</v>
      </c>
      <c r="C2975" s="1" t="str">
        <f>IFERROR(__xludf.DUMMYFUNCTION("""COMPUTED_VALUE"""),"treatment")</f>
        <v>treatment</v>
      </c>
      <c r="D2975" s="1" t="str">
        <f>IFERROR(__xludf.DUMMYFUNCTION("""COMPUTED_VALUE"""),"new_page")</f>
        <v>new_page</v>
      </c>
      <c r="E2975" s="1">
        <f>IFERROR(__xludf.DUMMYFUNCTION("""COMPUTED_VALUE"""),0.0)</f>
        <v>0</v>
      </c>
    </row>
    <row r="2976">
      <c r="A2976" s="1">
        <f>IFERROR(__xludf.DUMMYFUNCTION("""COMPUTED_VALUE"""),642593.0)</f>
        <v>642593</v>
      </c>
      <c r="B2976" s="2">
        <f>IFERROR(__xludf.DUMMYFUNCTION("""COMPUTED_VALUE"""),42748.99833750167)</f>
        <v>42748.99834</v>
      </c>
      <c r="C2976" s="1" t="str">
        <f>IFERROR(__xludf.DUMMYFUNCTION("""COMPUTED_VALUE"""),"control")</f>
        <v>control</v>
      </c>
      <c r="D2976" s="1" t="str">
        <f>IFERROR(__xludf.DUMMYFUNCTION("""COMPUTED_VALUE"""),"old_page")</f>
        <v>old_page</v>
      </c>
      <c r="E2976" s="1">
        <f>IFERROR(__xludf.DUMMYFUNCTION("""COMPUTED_VALUE"""),0.0)</f>
        <v>0</v>
      </c>
    </row>
    <row r="2977">
      <c r="A2977" s="1">
        <f>IFERROR(__xludf.DUMMYFUNCTION("""COMPUTED_VALUE"""),683423.0)</f>
        <v>683423</v>
      </c>
      <c r="B2977" s="2">
        <f>IFERROR(__xludf.DUMMYFUNCTION("""COMPUTED_VALUE"""),42747.02990292015)</f>
        <v>42747.0299</v>
      </c>
      <c r="C2977" s="1" t="str">
        <f>IFERROR(__xludf.DUMMYFUNCTION("""COMPUTED_VALUE"""),"treatment")</f>
        <v>treatment</v>
      </c>
      <c r="D2977" s="1" t="str">
        <f>IFERROR(__xludf.DUMMYFUNCTION("""COMPUTED_VALUE"""),"new_page")</f>
        <v>new_page</v>
      </c>
      <c r="E2977" s="1">
        <f>IFERROR(__xludf.DUMMYFUNCTION("""COMPUTED_VALUE"""),0.0)</f>
        <v>0</v>
      </c>
    </row>
    <row r="2978">
      <c r="A2978" s="1">
        <f>IFERROR(__xludf.DUMMYFUNCTION("""COMPUTED_VALUE"""),752308.0)</f>
        <v>752308</v>
      </c>
      <c r="B2978" s="2">
        <f>IFERROR(__xludf.DUMMYFUNCTION("""COMPUTED_VALUE"""),42739.42147598539)</f>
        <v>42739.42148</v>
      </c>
      <c r="C2978" s="1" t="str">
        <f>IFERROR(__xludf.DUMMYFUNCTION("""COMPUTED_VALUE"""),"treatment")</f>
        <v>treatment</v>
      </c>
      <c r="D2978" s="1" t="str">
        <f>IFERROR(__xludf.DUMMYFUNCTION("""COMPUTED_VALUE"""),"new_page")</f>
        <v>new_page</v>
      </c>
      <c r="E2978" s="1">
        <f>IFERROR(__xludf.DUMMYFUNCTION("""COMPUTED_VALUE"""),0.0)</f>
        <v>0</v>
      </c>
    </row>
    <row r="2979">
      <c r="A2979" s="1">
        <f>IFERROR(__xludf.DUMMYFUNCTION("""COMPUTED_VALUE"""),935782.0)</f>
        <v>935782</v>
      </c>
      <c r="B2979" s="2">
        <f>IFERROR(__xludf.DUMMYFUNCTION("""COMPUTED_VALUE"""),42741.73238725135)</f>
        <v>42741.73239</v>
      </c>
      <c r="C2979" s="1" t="str">
        <f>IFERROR(__xludf.DUMMYFUNCTION("""COMPUTED_VALUE"""),"control")</f>
        <v>control</v>
      </c>
      <c r="D2979" s="1" t="str">
        <f>IFERROR(__xludf.DUMMYFUNCTION("""COMPUTED_VALUE"""),"old_page")</f>
        <v>old_page</v>
      </c>
      <c r="E2979" s="1">
        <f>IFERROR(__xludf.DUMMYFUNCTION("""COMPUTED_VALUE"""),0.0)</f>
        <v>0</v>
      </c>
    </row>
    <row r="2980">
      <c r="A2980" s="1">
        <f>IFERROR(__xludf.DUMMYFUNCTION("""COMPUTED_VALUE"""),671788.0)</f>
        <v>671788</v>
      </c>
      <c r="B2980" s="2">
        <f>IFERROR(__xludf.DUMMYFUNCTION("""COMPUTED_VALUE"""),42745.09204753427)</f>
        <v>42745.09205</v>
      </c>
      <c r="C2980" s="1" t="str">
        <f>IFERROR(__xludf.DUMMYFUNCTION("""COMPUTED_VALUE"""),"treatment")</f>
        <v>treatment</v>
      </c>
      <c r="D2980" s="1" t="str">
        <f>IFERROR(__xludf.DUMMYFUNCTION("""COMPUTED_VALUE"""),"new_page")</f>
        <v>new_page</v>
      </c>
      <c r="E2980" s="1">
        <f>IFERROR(__xludf.DUMMYFUNCTION("""COMPUTED_VALUE"""),1.0)</f>
        <v>1</v>
      </c>
    </row>
    <row r="2981">
      <c r="A2981" s="1">
        <f>IFERROR(__xludf.DUMMYFUNCTION("""COMPUTED_VALUE"""),748770.0)</f>
        <v>748770</v>
      </c>
      <c r="B2981" s="2">
        <f>IFERROR(__xludf.DUMMYFUNCTION("""COMPUTED_VALUE"""),42751.55639984293)</f>
        <v>42751.5564</v>
      </c>
      <c r="C2981" s="1" t="str">
        <f>IFERROR(__xludf.DUMMYFUNCTION("""COMPUTED_VALUE"""),"treatment")</f>
        <v>treatment</v>
      </c>
      <c r="D2981" s="1" t="str">
        <f>IFERROR(__xludf.DUMMYFUNCTION("""COMPUTED_VALUE"""),"new_page")</f>
        <v>new_page</v>
      </c>
      <c r="E2981" s="1">
        <f>IFERROR(__xludf.DUMMYFUNCTION("""COMPUTED_VALUE"""),0.0)</f>
        <v>0</v>
      </c>
    </row>
    <row r="2982">
      <c r="A2982" s="1">
        <f>IFERROR(__xludf.DUMMYFUNCTION("""COMPUTED_VALUE"""),655351.0)</f>
        <v>655351</v>
      </c>
      <c r="B2982" s="2">
        <f>IFERROR(__xludf.DUMMYFUNCTION("""COMPUTED_VALUE"""),42757.011703550845)</f>
        <v>42757.0117</v>
      </c>
      <c r="C2982" s="1" t="str">
        <f>IFERROR(__xludf.DUMMYFUNCTION("""COMPUTED_VALUE"""),"control")</f>
        <v>control</v>
      </c>
      <c r="D2982" s="1" t="str">
        <f>IFERROR(__xludf.DUMMYFUNCTION("""COMPUTED_VALUE"""),"old_page")</f>
        <v>old_page</v>
      </c>
      <c r="E2982" s="1">
        <f>IFERROR(__xludf.DUMMYFUNCTION("""COMPUTED_VALUE"""),0.0)</f>
        <v>0</v>
      </c>
    </row>
    <row r="2983">
      <c r="A2983" s="1">
        <f>IFERROR(__xludf.DUMMYFUNCTION("""COMPUTED_VALUE"""),855786.0)</f>
        <v>855786</v>
      </c>
      <c r="B2983" s="2">
        <f>IFERROR(__xludf.DUMMYFUNCTION("""COMPUTED_VALUE"""),42752.48473710903)</f>
        <v>42752.48474</v>
      </c>
      <c r="C2983" s="1" t="str">
        <f>IFERROR(__xludf.DUMMYFUNCTION("""COMPUTED_VALUE"""),"control")</f>
        <v>control</v>
      </c>
      <c r="D2983" s="1" t="str">
        <f>IFERROR(__xludf.DUMMYFUNCTION("""COMPUTED_VALUE"""),"old_page")</f>
        <v>old_page</v>
      </c>
      <c r="E2983" s="1">
        <f>IFERROR(__xludf.DUMMYFUNCTION("""COMPUTED_VALUE"""),0.0)</f>
        <v>0</v>
      </c>
    </row>
    <row r="2984">
      <c r="A2984" s="1">
        <f>IFERROR(__xludf.DUMMYFUNCTION("""COMPUTED_VALUE"""),702386.0)</f>
        <v>702386</v>
      </c>
      <c r="B2984" s="2">
        <f>IFERROR(__xludf.DUMMYFUNCTION("""COMPUTED_VALUE"""),42740.312500331864)</f>
        <v>42740.3125</v>
      </c>
      <c r="C2984" s="1" t="str">
        <f>IFERROR(__xludf.DUMMYFUNCTION("""COMPUTED_VALUE"""),"control")</f>
        <v>control</v>
      </c>
      <c r="D2984" s="1" t="str">
        <f>IFERROR(__xludf.DUMMYFUNCTION("""COMPUTED_VALUE"""),"old_page")</f>
        <v>old_page</v>
      </c>
      <c r="E2984" s="1">
        <f>IFERROR(__xludf.DUMMYFUNCTION("""COMPUTED_VALUE"""),0.0)</f>
        <v>0</v>
      </c>
    </row>
    <row r="2985">
      <c r="A2985" s="1">
        <f>IFERROR(__xludf.DUMMYFUNCTION("""COMPUTED_VALUE"""),714861.0)</f>
        <v>714861</v>
      </c>
      <c r="B2985" s="2">
        <f>IFERROR(__xludf.DUMMYFUNCTION("""COMPUTED_VALUE"""),42741.20648963471)</f>
        <v>42741.20649</v>
      </c>
      <c r="C2985" s="1" t="str">
        <f>IFERROR(__xludf.DUMMYFUNCTION("""COMPUTED_VALUE"""),"control")</f>
        <v>control</v>
      </c>
      <c r="D2985" s="1" t="str">
        <f>IFERROR(__xludf.DUMMYFUNCTION("""COMPUTED_VALUE"""),"old_page")</f>
        <v>old_page</v>
      </c>
      <c r="E2985" s="1">
        <f>IFERROR(__xludf.DUMMYFUNCTION("""COMPUTED_VALUE"""),0.0)</f>
        <v>0</v>
      </c>
    </row>
    <row r="2986">
      <c r="A2986" s="1">
        <f>IFERROR(__xludf.DUMMYFUNCTION("""COMPUTED_VALUE"""),828156.0)</f>
        <v>828156</v>
      </c>
      <c r="B2986" s="2">
        <f>IFERROR(__xludf.DUMMYFUNCTION("""COMPUTED_VALUE"""),42750.48807218552)</f>
        <v>42750.48807</v>
      </c>
      <c r="C2986" s="1" t="str">
        <f>IFERROR(__xludf.DUMMYFUNCTION("""COMPUTED_VALUE"""),"control")</f>
        <v>control</v>
      </c>
      <c r="D2986" s="1" t="str">
        <f>IFERROR(__xludf.DUMMYFUNCTION("""COMPUTED_VALUE"""),"old_page")</f>
        <v>old_page</v>
      </c>
      <c r="E2986" s="1">
        <f>IFERROR(__xludf.DUMMYFUNCTION("""COMPUTED_VALUE"""),0.0)</f>
        <v>0</v>
      </c>
    </row>
    <row r="2987">
      <c r="A2987" s="1">
        <f>IFERROR(__xludf.DUMMYFUNCTION("""COMPUTED_VALUE"""),779280.0)</f>
        <v>779280</v>
      </c>
      <c r="B2987" s="2">
        <f>IFERROR(__xludf.DUMMYFUNCTION("""COMPUTED_VALUE"""),42756.584060272166)</f>
        <v>42756.58406</v>
      </c>
      <c r="C2987" s="1" t="str">
        <f>IFERROR(__xludf.DUMMYFUNCTION("""COMPUTED_VALUE"""),"control")</f>
        <v>control</v>
      </c>
      <c r="D2987" s="1" t="str">
        <f>IFERROR(__xludf.DUMMYFUNCTION("""COMPUTED_VALUE"""),"old_page")</f>
        <v>old_page</v>
      </c>
      <c r="E2987" s="1">
        <f>IFERROR(__xludf.DUMMYFUNCTION("""COMPUTED_VALUE"""),0.0)</f>
        <v>0</v>
      </c>
    </row>
    <row r="2988">
      <c r="A2988" s="1">
        <f>IFERROR(__xludf.DUMMYFUNCTION("""COMPUTED_VALUE"""),680585.0)</f>
        <v>680585</v>
      </c>
      <c r="B2988" s="2">
        <f>IFERROR(__xludf.DUMMYFUNCTION("""COMPUTED_VALUE"""),42750.83367124288)</f>
        <v>42750.83367</v>
      </c>
      <c r="C2988" s="1" t="str">
        <f>IFERROR(__xludf.DUMMYFUNCTION("""COMPUTED_VALUE"""),"control")</f>
        <v>control</v>
      </c>
      <c r="D2988" s="1" t="str">
        <f>IFERROR(__xludf.DUMMYFUNCTION("""COMPUTED_VALUE"""),"old_page")</f>
        <v>old_page</v>
      </c>
      <c r="E2988" s="1">
        <f>IFERROR(__xludf.DUMMYFUNCTION("""COMPUTED_VALUE"""),0.0)</f>
        <v>0</v>
      </c>
    </row>
    <row r="2989">
      <c r="A2989" s="1">
        <f>IFERROR(__xludf.DUMMYFUNCTION("""COMPUTED_VALUE"""),676412.0)</f>
        <v>676412</v>
      </c>
      <c r="B2989" s="2">
        <f>IFERROR(__xludf.DUMMYFUNCTION("""COMPUTED_VALUE"""),42753.6052915759)</f>
        <v>42753.60529</v>
      </c>
      <c r="C2989" s="1" t="str">
        <f>IFERROR(__xludf.DUMMYFUNCTION("""COMPUTED_VALUE"""),"treatment")</f>
        <v>treatment</v>
      </c>
      <c r="D2989" s="1" t="str">
        <f>IFERROR(__xludf.DUMMYFUNCTION("""COMPUTED_VALUE"""),"new_page")</f>
        <v>new_page</v>
      </c>
      <c r="E2989" s="1">
        <f>IFERROR(__xludf.DUMMYFUNCTION("""COMPUTED_VALUE"""),0.0)</f>
        <v>0</v>
      </c>
    </row>
    <row r="2990">
      <c r="A2990" s="1">
        <f>IFERROR(__xludf.DUMMYFUNCTION("""COMPUTED_VALUE"""),777634.0)</f>
        <v>777634</v>
      </c>
      <c r="B2990" s="2">
        <f>IFERROR(__xludf.DUMMYFUNCTION("""COMPUTED_VALUE"""),42743.612661097824)</f>
        <v>42743.61266</v>
      </c>
      <c r="C2990" s="1" t="str">
        <f>IFERROR(__xludf.DUMMYFUNCTION("""COMPUTED_VALUE"""),"control")</f>
        <v>control</v>
      </c>
      <c r="D2990" s="1" t="str">
        <f>IFERROR(__xludf.DUMMYFUNCTION("""COMPUTED_VALUE"""),"old_page")</f>
        <v>old_page</v>
      </c>
      <c r="E2990" s="1">
        <f>IFERROR(__xludf.DUMMYFUNCTION("""COMPUTED_VALUE"""),1.0)</f>
        <v>1</v>
      </c>
    </row>
    <row r="2991">
      <c r="A2991" s="1">
        <f>IFERROR(__xludf.DUMMYFUNCTION("""COMPUTED_VALUE"""),783617.0)</f>
        <v>783617</v>
      </c>
      <c r="B2991" s="2">
        <f>IFERROR(__xludf.DUMMYFUNCTION("""COMPUTED_VALUE"""),42740.19679427909)</f>
        <v>42740.19679</v>
      </c>
      <c r="C2991" s="1" t="str">
        <f>IFERROR(__xludf.DUMMYFUNCTION("""COMPUTED_VALUE"""),"treatment")</f>
        <v>treatment</v>
      </c>
      <c r="D2991" s="1" t="str">
        <f>IFERROR(__xludf.DUMMYFUNCTION("""COMPUTED_VALUE"""),"new_page")</f>
        <v>new_page</v>
      </c>
      <c r="E2991" s="1">
        <f>IFERROR(__xludf.DUMMYFUNCTION("""COMPUTED_VALUE"""),0.0)</f>
        <v>0</v>
      </c>
    </row>
    <row r="2992">
      <c r="A2992" s="1">
        <f>IFERROR(__xludf.DUMMYFUNCTION("""COMPUTED_VALUE"""),738301.0)</f>
        <v>738301</v>
      </c>
      <c r="B2992" s="2">
        <f>IFERROR(__xludf.DUMMYFUNCTION("""COMPUTED_VALUE"""),42742.56377342799)</f>
        <v>42742.56377</v>
      </c>
      <c r="C2992" s="1" t="str">
        <f>IFERROR(__xludf.DUMMYFUNCTION("""COMPUTED_VALUE"""),"control")</f>
        <v>control</v>
      </c>
      <c r="D2992" s="1" t="str">
        <f>IFERROR(__xludf.DUMMYFUNCTION("""COMPUTED_VALUE"""),"old_page")</f>
        <v>old_page</v>
      </c>
      <c r="E2992" s="1">
        <f>IFERROR(__xludf.DUMMYFUNCTION("""COMPUTED_VALUE"""),0.0)</f>
        <v>0</v>
      </c>
    </row>
    <row r="2993">
      <c r="A2993" s="1">
        <f>IFERROR(__xludf.DUMMYFUNCTION("""COMPUTED_VALUE"""),933437.0)</f>
        <v>933437</v>
      </c>
      <c r="B2993" s="2">
        <f>IFERROR(__xludf.DUMMYFUNCTION("""COMPUTED_VALUE"""),42756.205640816734)</f>
        <v>42756.20564</v>
      </c>
      <c r="C2993" s="1" t="str">
        <f>IFERROR(__xludf.DUMMYFUNCTION("""COMPUTED_VALUE"""),"control")</f>
        <v>control</v>
      </c>
      <c r="D2993" s="1" t="str">
        <f>IFERROR(__xludf.DUMMYFUNCTION("""COMPUTED_VALUE"""),"old_page")</f>
        <v>old_page</v>
      </c>
      <c r="E2993" s="1">
        <f>IFERROR(__xludf.DUMMYFUNCTION("""COMPUTED_VALUE"""),1.0)</f>
        <v>1</v>
      </c>
    </row>
    <row r="2994">
      <c r="A2994" s="1">
        <f>IFERROR(__xludf.DUMMYFUNCTION("""COMPUTED_VALUE"""),754456.0)</f>
        <v>754456</v>
      </c>
      <c r="B2994" s="2">
        <f>IFERROR(__xludf.DUMMYFUNCTION("""COMPUTED_VALUE"""),42746.989373086966)</f>
        <v>42746.98937</v>
      </c>
      <c r="C2994" s="1" t="str">
        <f>IFERROR(__xludf.DUMMYFUNCTION("""COMPUTED_VALUE"""),"control")</f>
        <v>control</v>
      </c>
      <c r="D2994" s="1" t="str">
        <f>IFERROR(__xludf.DUMMYFUNCTION("""COMPUTED_VALUE"""),"old_page")</f>
        <v>old_page</v>
      </c>
      <c r="E2994" s="1">
        <f>IFERROR(__xludf.DUMMYFUNCTION("""COMPUTED_VALUE"""),0.0)</f>
        <v>0</v>
      </c>
    </row>
    <row r="2995">
      <c r="A2995" s="1">
        <f>IFERROR(__xludf.DUMMYFUNCTION("""COMPUTED_VALUE"""),811693.0)</f>
        <v>811693</v>
      </c>
      <c r="B2995" s="2">
        <f>IFERROR(__xludf.DUMMYFUNCTION("""COMPUTED_VALUE"""),42740.7310537397)</f>
        <v>42740.73105</v>
      </c>
      <c r="C2995" s="1" t="str">
        <f>IFERROR(__xludf.DUMMYFUNCTION("""COMPUTED_VALUE"""),"treatment")</f>
        <v>treatment</v>
      </c>
      <c r="D2995" s="1" t="str">
        <f>IFERROR(__xludf.DUMMYFUNCTION("""COMPUTED_VALUE"""),"new_page")</f>
        <v>new_page</v>
      </c>
      <c r="E2995" s="1">
        <f>IFERROR(__xludf.DUMMYFUNCTION("""COMPUTED_VALUE"""),0.0)</f>
        <v>0</v>
      </c>
    </row>
    <row r="2996">
      <c r="A2996" s="1">
        <f>IFERROR(__xludf.DUMMYFUNCTION("""COMPUTED_VALUE"""),922274.0)</f>
        <v>922274</v>
      </c>
      <c r="B2996" s="2">
        <f>IFERROR(__xludf.DUMMYFUNCTION("""COMPUTED_VALUE"""),42745.10719643325)</f>
        <v>42745.1072</v>
      </c>
      <c r="C2996" s="1" t="str">
        <f>IFERROR(__xludf.DUMMYFUNCTION("""COMPUTED_VALUE"""),"treatment")</f>
        <v>treatment</v>
      </c>
      <c r="D2996" s="1" t="str">
        <f>IFERROR(__xludf.DUMMYFUNCTION("""COMPUTED_VALUE"""),"new_page")</f>
        <v>new_page</v>
      </c>
      <c r="E2996" s="1">
        <f>IFERROR(__xludf.DUMMYFUNCTION("""COMPUTED_VALUE"""),1.0)</f>
        <v>1</v>
      </c>
    </row>
    <row r="2997">
      <c r="A2997" s="1">
        <f>IFERROR(__xludf.DUMMYFUNCTION("""COMPUTED_VALUE"""),841086.0)</f>
        <v>841086</v>
      </c>
      <c r="B2997" s="2">
        <f>IFERROR(__xludf.DUMMYFUNCTION("""COMPUTED_VALUE"""),42745.330060879816)</f>
        <v>42745.33006</v>
      </c>
      <c r="C2997" s="1" t="str">
        <f>IFERROR(__xludf.DUMMYFUNCTION("""COMPUTED_VALUE"""),"treatment")</f>
        <v>treatment</v>
      </c>
      <c r="D2997" s="1" t="str">
        <f>IFERROR(__xludf.DUMMYFUNCTION("""COMPUTED_VALUE"""),"new_page")</f>
        <v>new_page</v>
      </c>
      <c r="E2997" s="1">
        <f>IFERROR(__xludf.DUMMYFUNCTION("""COMPUTED_VALUE"""),0.0)</f>
        <v>0</v>
      </c>
    </row>
    <row r="2998">
      <c r="A2998" s="1">
        <f>IFERROR(__xludf.DUMMYFUNCTION("""COMPUTED_VALUE"""),870339.0)</f>
        <v>870339</v>
      </c>
      <c r="B2998" s="2">
        <f>IFERROR(__xludf.DUMMYFUNCTION("""COMPUTED_VALUE"""),42755.319157334285)</f>
        <v>42755.31916</v>
      </c>
      <c r="C2998" s="1" t="str">
        <f>IFERROR(__xludf.DUMMYFUNCTION("""COMPUTED_VALUE"""),"treatment")</f>
        <v>treatment</v>
      </c>
      <c r="D2998" s="1" t="str">
        <f>IFERROR(__xludf.DUMMYFUNCTION("""COMPUTED_VALUE"""),"new_page")</f>
        <v>new_page</v>
      </c>
      <c r="E2998" s="1">
        <f>IFERROR(__xludf.DUMMYFUNCTION("""COMPUTED_VALUE"""),1.0)</f>
        <v>1</v>
      </c>
    </row>
    <row r="2999">
      <c r="A2999" s="1">
        <f>IFERROR(__xludf.DUMMYFUNCTION("""COMPUTED_VALUE"""),693957.0)</f>
        <v>693957</v>
      </c>
      <c r="B2999" s="2">
        <f>IFERROR(__xludf.DUMMYFUNCTION("""COMPUTED_VALUE"""),42754.38871761248)</f>
        <v>42754.38872</v>
      </c>
      <c r="C2999" s="1" t="str">
        <f>IFERROR(__xludf.DUMMYFUNCTION("""COMPUTED_VALUE"""),"control")</f>
        <v>control</v>
      </c>
      <c r="D2999" s="1" t="str">
        <f>IFERROR(__xludf.DUMMYFUNCTION("""COMPUTED_VALUE"""),"old_page")</f>
        <v>old_page</v>
      </c>
      <c r="E2999" s="1">
        <f>IFERROR(__xludf.DUMMYFUNCTION("""COMPUTED_VALUE"""),0.0)</f>
        <v>0</v>
      </c>
    </row>
    <row r="3000">
      <c r="A3000" s="1">
        <f>IFERROR(__xludf.DUMMYFUNCTION("""COMPUTED_VALUE"""),931331.0)</f>
        <v>931331</v>
      </c>
      <c r="B3000" s="2">
        <f>IFERROR(__xludf.DUMMYFUNCTION("""COMPUTED_VALUE"""),42746.634914991126)</f>
        <v>42746.63491</v>
      </c>
      <c r="C3000" s="1" t="str">
        <f>IFERROR(__xludf.DUMMYFUNCTION("""COMPUTED_VALUE"""),"treatment")</f>
        <v>treatment</v>
      </c>
      <c r="D3000" s="1" t="str">
        <f>IFERROR(__xludf.DUMMYFUNCTION("""COMPUTED_VALUE"""),"new_page")</f>
        <v>new_page</v>
      </c>
      <c r="E3000" s="1">
        <f>IFERROR(__xludf.DUMMYFUNCTION("""COMPUTED_VALUE"""),1.0)</f>
        <v>1</v>
      </c>
    </row>
    <row r="3001">
      <c r="A3001" s="1">
        <f>IFERROR(__xludf.DUMMYFUNCTION("""COMPUTED_VALUE"""),750932.0)</f>
        <v>750932</v>
      </c>
      <c r="B3001" s="2">
        <f>IFERROR(__xludf.DUMMYFUNCTION("""COMPUTED_VALUE"""),42758.60952160336)</f>
        <v>42758.60952</v>
      </c>
      <c r="C3001" s="1" t="str">
        <f>IFERROR(__xludf.DUMMYFUNCTION("""COMPUTED_VALUE"""),"control")</f>
        <v>control</v>
      </c>
      <c r="D3001" s="1" t="str">
        <f>IFERROR(__xludf.DUMMYFUNCTION("""COMPUTED_VALUE"""),"old_page")</f>
        <v>old_page</v>
      </c>
      <c r="E3001" s="1">
        <f>IFERROR(__xludf.DUMMYFUNCTION("""COMPUTED_VALUE"""),0.0)</f>
        <v>0</v>
      </c>
    </row>
    <row r="3002">
      <c r="A3002" s="1">
        <f>IFERROR(__xludf.DUMMYFUNCTION("""COMPUTED_VALUE"""),865045.0)</f>
        <v>865045</v>
      </c>
      <c r="B3002" s="2">
        <f>IFERROR(__xludf.DUMMYFUNCTION("""COMPUTED_VALUE"""),42741.984289945925)</f>
        <v>42741.98429</v>
      </c>
      <c r="C3002" s="1" t="str">
        <f>IFERROR(__xludf.DUMMYFUNCTION("""COMPUTED_VALUE"""),"control")</f>
        <v>control</v>
      </c>
      <c r="D3002" s="1" t="str">
        <f>IFERROR(__xludf.DUMMYFUNCTION("""COMPUTED_VALUE"""),"old_page")</f>
        <v>old_page</v>
      </c>
      <c r="E3002" s="1">
        <f>IFERROR(__xludf.DUMMYFUNCTION("""COMPUTED_VALUE"""),0.0)</f>
        <v>0</v>
      </c>
    </row>
    <row r="3003">
      <c r="A3003" s="1">
        <f>IFERROR(__xludf.DUMMYFUNCTION("""COMPUTED_VALUE"""),768595.0)</f>
        <v>768595</v>
      </c>
      <c r="B3003" s="2">
        <f>IFERROR(__xludf.DUMMYFUNCTION("""COMPUTED_VALUE"""),42749.08536908372)</f>
        <v>42749.08537</v>
      </c>
      <c r="C3003" s="1" t="str">
        <f>IFERROR(__xludf.DUMMYFUNCTION("""COMPUTED_VALUE"""),"control")</f>
        <v>control</v>
      </c>
      <c r="D3003" s="1" t="str">
        <f>IFERROR(__xludf.DUMMYFUNCTION("""COMPUTED_VALUE"""),"old_page")</f>
        <v>old_page</v>
      </c>
      <c r="E3003" s="1">
        <f>IFERROR(__xludf.DUMMYFUNCTION("""COMPUTED_VALUE"""),0.0)</f>
        <v>0</v>
      </c>
    </row>
    <row r="3004">
      <c r="A3004" s="1">
        <f>IFERROR(__xludf.DUMMYFUNCTION("""COMPUTED_VALUE"""),689745.0)</f>
        <v>689745</v>
      </c>
      <c r="B3004" s="2">
        <f>IFERROR(__xludf.DUMMYFUNCTION("""COMPUTED_VALUE"""),42752.183940162584)</f>
        <v>42752.18394</v>
      </c>
      <c r="C3004" s="1" t="str">
        <f>IFERROR(__xludf.DUMMYFUNCTION("""COMPUTED_VALUE"""),"control")</f>
        <v>control</v>
      </c>
      <c r="D3004" s="1" t="str">
        <f>IFERROR(__xludf.DUMMYFUNCTION("""COMPUTED_VALUE"""),"old_page")</f>
        <v>old_page</v>
      </c>
      <c r="E3004" s="1">
        <f>IFERROR(__xludf.DUMMYFUNCTION("""COMPUTED_VALUE"""),0.0)</f>
        <v>0</v>
      </c>
    </row>
    <row r="3005">
      <c r="A3005" s="1">
        <f>IFERROR(__xludf.DUMMYFUNCTION("""COMPUTED_VALUE"""),816691.0)</f>
        <v>816691</v>
      </c>
      <c r="B3005" s="2">
        <f>IFERROR(__xludf.DUMMYFUNCTION("""COMPUTED_VALUE"""),42748.984598138566)</f>
        <v>42748.9846</v>
      </c>
      <c r="C3005" s="1" t="str">
        <f>IFERROR(__xludf.DUMMYFUNCTION("""COMPUTED_VALUE"""),"control")</f>
        <v>control</v>
      </c>
      <c r="D3005" s="1" t="str">
        <f>IFERROR(__xludf.DUMMYFUNCTION("""COMPUTED_VALUE"""),"old_page")</f>
        <v>old_page</v>
      </c>
      <c r="E3005" s="1">
        <f>IFERROR(__xludf.DUMMYFUNCTION("""COMPUTED_VALUE"""),0.0)</f>
        <v>0</v>
      </c>
    </row>
    <row r="3006">
      <c r="A3006" s="1">
        <f>IFERROR(__xludf.DUMMYFUNCTION("""COMPUTED_VALUE"""),662951.0)</f>
        <v>662951</v>
      </c>
      <c r="B3006" s="2">
        <f>IFERROR(__xludf.DUMMYFUNCTION("""COMPUTED_VALUE"""),42743.45631706867)</f>
        <v>42743.45632</v>
      </c>
      <c r="C3006" s="1" t="str">
        <f>IFERROR(__xludf.DUMMYFUNCTION("""COMPUTED_VALUE"""),"treatment")</f>
        <v>treatment</v>
      </c>
      <c r="D3006" s="1" t="str">
        <f>IFERROR(__xludf.DUMMYFUNCTION("""COMPUTED_VALUE"""),"new_page")</f>
        <v>new_page</v>
      </c>
      <c r="E3006" s="1">
        <f>IFERROR(__xludf.DUMMYFUNCTION("""COMPUTED_VALUE"""),0.0)</f>
        <v>0</v>
      </c>
    </row>
    <row r="3007">
      <c r="A3007" s="1">
        <f>IFERROR(__xludf.DUMMYFUNCTION("""COMPUTED_VALUE"""),933696.0)</f>
        <v>933696</v>
      </c>
      <c r="B3007" s="2">
        <f>IFERROR(__xludf.DUMMYFUNCTION("""COMPUTED_VALUE"""),42743.04139791177)</f>
        <v>42743.0414</v>
      </c>
      <c r="C3007" s="1" t="str">
        <f>IFERROR(__xludf.DUMMYFUNCTION("""COMPUTED_VALUE"""),"control")</f>
        <v>control</v>
      </c>
      <c r="D3007" s="1" t="str">
        <f>IFERROR(__xludf.DUMMYFUNCTION("""COMPUTED_VALUE"""),"old_page")</f>
        <v>old_page</v>
      </c>
      <c r="E3007" s="1">
        <f>IFERROR(__xludf.DUMMYFUNCTION("""COMPUTED_VALUE"""),0.0)</f>
        <v>0</v>
      </c>
    </row>
    <row r="3008">
      <c r="A3008" s="1">
        <f>IFERROR(__xludf.DUMMYFUNCTION("""COMPUTED_VALUE"""),924140.0)</f>
        <v>924140</v>
      </c>
      <c r="B3008" s="2">
        <f>IFERROR(__xludf.DUMMYFUNCTION("""COMPUTED_VALUE"""),42741.993892149665)</f>
        <v>42741.99389</v>
      </c>
      <c r="C3008" s="1" t="str">
        <f>IFERROR(__xludf.DUMMYFUNCTION("""COMPUTED_VALUE"""),"control")</f>
        <v>control</v>
      </c>
      <c r="D3008" s="1" t="str">
        <f>IFERROR(__xludf.DUMMYFUNCTION("""COMPUTED_VALUE"""),"old_page")</f>
        <v>old_page</v>
      </c>
      <c r="E3008" s="1">
        <f>IFERROR(__xludf.DUMMYFUNCTION("""COMPUTED_VALUE"""),0.0)</f>
        <v>0</v>
      </c>
    </row>
    <row r="3009">
      <c r="A3009" s="1">
        <f>IFERROR(__xludf.DUMMYFUNCTION("""COMPUTED_VALUE"""),835779.0)</f>
        <v>835779</v>
      </c>
      <c r="B3009" s="2">
        <f>IFERROR(__xludf.DUMMYFUNCTION("""COMPUTED_VALUE"""),42753.37535373765)</f>
        <v>42753.37535</v>
      </c>
      <c r="C3009" s="1" t="str">
        <f>IFERROR(__xludf.DUMMYFUNCTION("""COMPUTED_VALUE"""),"control")</f>
        <v>control</v>
      </c>
      <c r="D3009" s="1" t="str">
        <f>IFERROR(__xludf.DUMMYFUNCTION("""COMPUTED_VALUE"""),"old_page")</f>
        <v>old_page</v>
      </c>
      <c r="E3009" s="1">
        <f>IFERROR(__xludf.DUMMYFUNCTION("""COMPUTED_VALUE"""),0.0)</f>
        <v>0</v>
      </c>
    </row>
    <row r="3010">
      <c r="A3010" s="1">
        <f>IFERROR(__xludf.DUMMYFUNCTION("""COMPUTED_VALUE"""),937296.0)</f>
        <v>937296</v>
      </c>
      <c r="B3010" s="2">
        <f>IFERROR(__xludf.DUMMYFUNCTION("""COMPUTED_VALUE"""),42738.4361009815)</f>
        <v>42738.4361</v>
      </c>
      <c r="C3010" s="1" t="str">
        <f>IFERROR(__xludf.DUMMYFUNCTION("""COMPUTED_VALUE"""),"treatment")</f>
        <v>treatment</v>
      </c>
      <c r="D3010" s="1" t="str">
        <f>IFERROR(__xludf.DUMMYFUNCTION("""COMPUTED_VALUE"""),"new_page")</f>
        <v>new_page</v>
      </c>
      <c r="E3010" s="1">
        <f>IFERROR(__xludf.DUMMYFUNCTION("""COMPUTED_VALUE"""),0.0)</f>
        <v>0</v>
      </c>
    </row>
    <row r="3011">
      <c r="A3011" s="1">
        <f>IFERROR(__xludf.DUMMYFUNCTION("""COMPUTED_VALUE"""),812185.0)</f>
        <v>812185</v>
      </c>
      <c r="B3011" s="2">
        <f>IFERROR(__xludf.DUMMYFUNCTION("""COMPUTED_VALUE"""),42749.66498204286)</f>
        <v>42749.66498</v>
      </c>
      <c r="C3011" s="1" t="str">
        <f>IFERROR(__xludf.DUMMYFUNCTION("""COMPUTED_VALUE"""),"control")</f>
        <v>control</v>
      </c>
      <c r="D3011" s="1" t="str">
        <f>IFERROR(__xludf.DUMMYFUNCTION("""COMPUTED_VALUE"""),"old_page")</f>
        <v>old_page</v>
      </c>
      <c r="E3011" s="1">
        <f>IFERROR(__xludf.DUMMYFUNCTION("""COMPUTED_VALUE"""),0.0)</f>
        <v>0</v>
      </c>
    </row>
    <row r="3012">
      <c r="A3012" s="1">
        <f>IFERROR(__xludf.DUMMYFUNCTION("""COMPUTED_VALUE"""),663440.0)</f>
        <v>663440</v>
      </c>
      <c r="B3012" s="2">
        <f>IFERROR(__xludf.DUMMYFUNCTION("""COMPUTED_VALUE"""),42745.50432077219)</f>
        <v>42745.50432</v>
      </c>
      <c r="C3012" s="1" t="str">
        <f>IFERROR(__xludf.DUMMYFUNCTION("""COMPUTED_VALUE"""),"control")</f>
        <v>control</v>
      </c>
      <c r="D3012" s="1" t="str">
        <f>IFERROR(__xludf.DUMMYFUNCTION("""COMPUTED_VALUE"""),"old_page")</f>
        <v>old_page</v>
      </c>
      <c r="E3012" s="1">
        <f>IFERROR(__xludf.DUMMYFUNCTION("""COMPUTED_VALUE"""),0.0)</f>
        <v>0</v>
      </c>
    </row>
    <row r="3013">
      <c r="A3013" s="1">
        <f>IFERROR(__xludf.DUMMYFUNCTION("""COMPUTED_VALUE"""),798016.0)</f>
        <v>798016</v>
      </c>
      <c r="B3013" s="2">
        <f>IFERROR(__xludf.DUMMYFUNCTION("""COMPUTED_VALUE"""),42753.16047614998)</f>
        <v>42753.16048</v>
      </c>
      <c r="C3013" s="1" t="str">
        <f>IFERROR(__xludf.DUMMYFUNCTION("""COMPUTED_VALUE"""),"treatment")</f>
        <v>treatment</v>
      </c>
      <c r="D3013" s="1" t="str">
        <f>IFERROR(__xludf.DUMMYFUNCTION("""COMPUTED_VALUE"""),"new_page")</f>
        <v>new_page</v>
      </c>
      <c r="E3013" s="1">
        <f>IFERROR(__xludf.DUMMYFUNCTION("""COMPUTED_VALUE"""),1.0)</f>
        <v>1</v>
      </c>
    </row>
    <row r="3014">
      <c r="A3014" s="1">
        <f>IFERROR(__xludf.DUMMYFUNCTION("""COMPUTED_VALUE"""),830455.0)</f>
        <v>830455</v>
      </c>
      <c r="B3014" s="2">
        <f>IFERROR(__xludf.DUMMYFUNCTION("""COMPUTED_VALUE"""),42749.71397813621)</f>
        <v>42749.71398</v>
      </c>
      <c r="C3014" s="1" t="str">
        <f>IFERROR(__xludf.DUMMYFUNCTION("""COMPUTED_VALUE"""),"treatment")</f>
        <v>treatment</v>
      </c>
      <c r="D3014" s="1" t="str">
        <f>IFERROR(__xludf.DUMMYFUNCTION("""COMPUTED_VALUE"""),"new_page")</f>
        <v>new_page</v>
      </c>
      <c r="E3014" s="1">
        <f>IFERROR(__xludf.DUMMYFUNCTION("""COMPUTED_VALUE"""),0.0)</f>
        <v>0</v>
      </c>
    </row>
    <row r="3015">
      <c r="A3015" s="1">
        <f>IFERROR(__xludf.DUMMYFUNCTION("""COMPUTED_VALUE"""),943748.0)</f>
        <v>943748</v>
      </c>
      <c r="B3015" s="2">
        <f>IFERROR(__xludf.DUMMYFUNCTION("""COMPUTED_VALUE"""),42748.99216213463)</f>
        <v>42748.99216</v>
      </c>
      <c r="C3015" s="1" t="str">
        <f>IFERROR(__xludf.DUMMYFUNCTION("""COMPUTED_VALUE"""),"treatment")</f>
        <v>treatment</v>
      </c>
      <c r="D3015" s="1" t="str">
        <f>IFERROR(__xludf.DUMMYFUNCTION("""COMPUTED_VALUE"""),"new_page")</f>
        <v>new_page</v>
      </c>
      <c r="E3015" s="1">
        <f>IFERROR(__xludf.DUMMYFUNCTION("""COMPUTED_VALUE"""),0.0)</f>
        <v>0</v>
      </c>
    </row>
    <row r="3016">
      <c r="A3016" s="1">
        <f>IFERROR(__xludf.DUMMYFUNCTION("""COMPUTED_VALUE"""),808357.0)</f>
        <v>808357</v>
      </c>
      <c r="B3016" s="2">
        <f>IFERROR(__xludf.DUMMYFUNCTION("""COMPUTED_VALUE"""),42757.1194619606)</f>
        <v>42757.11946</v>
      </c>
      <c r="C3016" s="1" t="str">
        <f>IFERROR(__xludf.DUMMYFUNCTION("""COMPUTED_VALUE"""),"control")</f>
        <v>control</v>
      </c>
      <c r="D3016" s="1" t="str">
        <f>IFERROR(__xludf.DUMMYFUNCTION("""COMPUTED_VALUE"""),"old_page")</f>
        <v>old_page</v>
      </c>
      <c r="E3016" s="1">
        <f>IFERROR(__xludf.DUMMYFUNCTION("""COMPUTED_VALUE"""),0.0)</f>
        <v>0</v>
      </c>
    </row>
    <row r="3017">
      <c r="A3017" s="1">
        <f>IFERROR(__xludf.DUMMYFUNCTION("""COMPUTED_VALUE"""),669606.0)</f>
        <v>669606</v>
      </c>
      <c r="B3017" s="2">
        <f>IFERROR(__xludf.DUMMYFUNCTION("""COMPUTED_VALUE"""),42757.87182711876)</f>
        <v>42757.87183</v>
      </c>
      <c r="C3017" s="1" t="str">
        <f>IFERROR(__xludf.DUMMYFUNCTION("""COMPUTED_VALUE"""),"control")</f>
        <v>control</v>
      </c>
      <c r="D3017" s="1" t="str">
        <f>IFERROR(__xludf.DUMMYFUNCTION("""COMPUTED_VALUE"""),"old_page")</f>
        <v>old_page</v>
      </c>
      <c r="E3017" s="1">
        <f>IFERROR(__xludf.DUMMYFUNCTION("""COMPUTED_VALUE"""),0.0)</f>
        <v>0</v>
      </c>
    </row>
    <row r="3018">
      <c r="A3018" s="1">
        <f>IFERROR(__xludf.DUMMYFUNCTION("""COMPUTED_VALUE"""),856247.0)</f>
        <v>856247</v>
      </c>
      <c r="B3018" s="2">
        <f>IFERROR(__xludf.DUMMYFUNCTION("""COMPUTED_VALUE"""),42742.48475788949)</f>
        <v>42742.48476</v>
      </c>
      <c r="C3018" s="1" t="str">
        <f>IFERROR(__xludf.DUMMYFUNCTION("""COMPUTED_VALUE"""),"control")</f>
        <v>control</v>
      </c>
      <c r="D3018" s="1" t="str">
        <f>IFERROR(__xludf.DUMMYFUNCTION("""COMPUTED_VALUE"""),"old_page")</f>
        <v>old_page</v>
      </c>
      <c r="E3018" s="1">
        <f>IFERROR(__xludf.DUMMYFUNCTION("""COMPUTED_VALUE"""),0.0)</f>
        <v>0</v>
      </c>
    </row>
    <row r="3019">
      <c r="A3019" s="1">
        <f>IFERROR(__xludf.DUMMYFUNCTION("""COMPUTED_VALUE"""),817839.0)</f>
        <v>817839</v>
      </c>
      <c r="B3019" s="2">
        <f>IFERROR(__xludf.DUMMYFUNCTION("""COMPUTED_VALUE"""),42758.457270879124)</f>
        <v>42758.45727</v>
      </c>
      <c r="C3019" s="1" t="str">
        <f>IFERROR(__xludf.DUMMYFUNCTION("""COMPUTED_VALUE"""),"control")</f>
        <v>control</v>
      </c>
      <c r="D3019" s="1" t="str">
        <f>IFERROR(__xludf.DUMMYFUNCTION("""COMPUTED_VALUE"""),"old_page")</f>
        <v>old_page</v>
      </c>
      <c r="E3019" s="1">
        <f>IFERROR(__xludf.DUMMYFUNCTION("""COMPUTED_VALUE"""),1.0)</f>
        <v>1</v>
      </c>
    </row>
    <row r="3020">
      <c r="A3020" s="1">
        <f>IFERROR(__xludf.DUMMYFUNCTION("""COMPUTED_VALUE"""),808905.0)</f>
        <v>808905</v>
      </c>
      <c r="B3020" s="2">
        <f>IFERROR(__xludf.DUMMYFUNCTION("""COMPUTED_VALUE"""),42742.125461998774)</f>
        <v>42742.12546</v>
      </c>
      <c r="C3020" s="1" t="str">
        <f>IFERROR(__xludf.DUMMYFUNCTION("""COMPUTED_VALUE"""),"control")</f>
        <v>control</v>
      </c>
      <c r="D3020" s="1" t="str">
        <f>IFERROR(__xludf.DUMMYFUNCTION("""COMPUTED_VALUE"""),"old_page")</f>
        <v>old_page</v>
      </c>
      <c r="E3020" s="1">
        <f>IFERROR(__xludf.DUMMYFUNCTION("""COMPUTED_VALUE"""),0.0)</f>
        <v>0</v>
      </c>
    </row>
    <row r="3021">
      <c r="A3021" s="1">
        <f>IFERROR(__xludf.DUMMYFUNCTION("""COMPUTED_VALUE"""),911919.0)</f>
        <v>911919</v>
      </c>
      <c r="B3021" s="2">
        <f>IFERROR(__xludf.DUMMYFUNCTION("""COMPUTED_VALUE"""),42758.03677200039)</f>
        <v>42758.03677</v>
      </c>
      <c r="C3021" s="1" t="str">
        <f>IFERROR(__xludf.DUMMYFUNCTION("""COMPUTED_VALUE"""),"control")</f>
        <v>control</v>
      </c>
      <c r="D3021" s="1" t="str">
        <f>IFERROR(__xludf.DUMMYFUNCTION("""COMPUTED_VALUE"""),"old_page")</f>
        <v>old_page</v>
      </c>
      <c r="E3021" s="1">
        <f>IFERROR(__xludf.DUMMYFUNCTION("""COMPUTED_VALUE"""),1.0)</f>
        <v>1</v>
      </c>
    </row>
    <row r="3022">
      <c r="A3022" s="1">
        <f>IFERROR(__xludf.DUMMYFUNCTION("""COMPUTED_VALUE"""),638344.0)</f>
        <v>638344</v>
      </c>
      <c r="B3022" s="2">
        <f>IFERROR(__xludf.DUMMYFUNCTION("""COMPUTED_VALUE"""),42744.96143323428)</f>
        <v>42744.96143</v>
      </c>
      <c r="C3022" s="1" t="str">
        <f>IFERROR(__xludf.DUMMYFUNCTION("""COMPUTED_VALUE"""),"treatment")</f>
        <v>treatment</v>
      </c>
      <c r="D3022" s="1" t="str">
        <f>IFERROR(__xludf.DUMMYFUNCTION("""COMPUTED_VALUE"""),"new_page")</f>
        <v>new_page</v>
      </c>
      <c r="E3022" s="1">
        <f>IFERROR(__xludf.DUMMYFUNCTION("""COMPUTED_VALUE"""),1.0)</f>
        <v>1</v>
      </c>
    </row>
    <row r="3023">
      <c r="A3023" s="1">
        <f>IFERROR(__xludf.DUMMYFUNCTION("""COMPUTED_VALUE"""),670654.0)</f>
        <v>670654</v>
      </c>
      <c r="B3023" s="2">
        <f>IFERROR(__xludf.DUMMYFUNCTION("""COMPUTED_VALUE"""),42756.8785472817)</f>
        <v>42756.87855</v>
      </c>
      <c r="C3023" s="1" t="str">
        <f>IFERROR(__xludf.DUMMYFUNCTION("""COMPUTED_VALUE"""),"control")</f>
        <v>control</v>
      </c>
      <c r="D3023" s="1" t="str">
        <f>IFERROR(__xludf.DUMMYFUNCTION("""COMPUTED_VALUE"""),"old_page")</f>
        <v>old_page</v>
      </c>
      <c r="E3023" s="1">
        <f>IFERROR(__xludf.DUMMYFUNCTION("""COMPUTED_VALUE"""),0.0)</f>
        <v>0</v>
      </c>
    </row>
    <row r="3024">
      <c r="A3024" s="1">
        <f>IFERROR(__xludf.DUMMYFUNCTION("""COMPUTED_VALUE"""),749201.0)</f>
        <v>749201</v>
      </c>
      <c r="B3024" s="2">
        <f>IFERROR(__xludf.DUMMYFUNCTION("""COMPUTED_VALUE"""),42748.57319413603)</f>
        <v>42748.57319</v>
      </c>
      <c r="C3024" s="1" t="str">
        <f>IFERROR(__xludf.DUMMYFUNCTION("""COMPUTED_VALUE"""),"control")</f>
        <v>control</v>
      </c>
      <c r="D3024" s="1" t="str">
        <f>IFERROR(__xludf.DUMMYFUNCTION("""COMPUTED_VALUE"""),"old_page")</f>
        <v>old_page</v>
      </c>
      <c r="E3024" s="1">
        <f>IFERROR(__xludf.DUMMYFUNCTION("""COMPUTED_VALUE"""),0.0)</f>
        <v>0</v>
      </c>
    </row>
    <row r="3025">
      <c r="A3025" s="1">
        <f>IFERROR(__xludf.DUMMYFUNCTION("""COMPUTED_VALUE"""),820382.0)</f>
        <v>820382</v>
      </c>
      <c r="B3025" s="2">
        <f>IFERROR(__xludf.DUMMYFUNCTION("""COMPUTED_VALUE"""),42740.21799519588)</f>
        <v>42740.218</v>
      </c>
      <c r="C3025" s="1" t="str">
        <f>IFERROR(__xludf.DUMMYFUNCTION("""COMPUTED_VALUE"""),"treatment")</f>
        <v>treatment</v>
      </c>
      <c r="D3025" s="1" t="str">
        <f>IFERROR(__xludf.DUMMYFUNCTION("""COMPUTED_VALUE"""),"new_page")</f>
        <v>new_page</v>
      </c>
      <c r="E3025" s="1">
        <f>IFERROR(__xludf.DUMMYFUNCTION("""COMPUTED_VALUE"""),0.0)</f>
        <v>0</v>
      </c>
    </row>
    <row r="3026">
      <c r="A3026" s="1">
        <f>IFERROR(__xludf.DUMMYFUNCTION("""COMPUTED_VALUE"""),931961.0)</f>
        <v>931961</v>
      </c>
      <c r="B3026" s="2">
        <f>IFERROR(__xludf.DUMMYFUNCTION("""COMPUTED_VALUE"""),42743.44869351689)</f>
        <v>42743.44869</v>
      </c>
      <c r="C3026" s="1" t="str">
        <f>IFERROR(__xludf.DUMMYFUNCTION("""COMPUTED_VALUE"""),"control")</f>
        <v>control</v>
      </c>
      <c r="D3026" s="1" t="str">
        <f>IFERROR(__xludf.DUMMYFUNCTION("""COMPUTED_VALUE"""),"old_page")</f>
        <v>old_page</v>
      </c>
      <c r="E3026" s="1">
        <f>IFERROR(__xludf.DUMMYFUNCTION("""COMPUTED_VALUE"""),0.0)</f>
        <v>0</v>
      </c>
    </row>
    <row r="3027">
      <c r="A3027" s="1">
        <f>IFERROR(__xludf.DUMMYFUNCTION("""COMPUTED_VALUE"""),826216.0)</f>
        <v>826216</v>
      </c>
      <c r="B3027" s="2">
        <f>IFERROR(__xludf.DUMMYFUNCTION("""COMPUTED_VALUE"""),42743.06802997356)</f>
        <v>42743.06803</v>
      </c>
      <c r="C3027" s="1" t="str">
        <f>IFERROR(__xludf.DUMMYFUNCTION("""COMPUTED_VALUE"""),"control")</f>
        <v>control</v>
      </c>
      <c r="D3027" s="1" t="str">
        <f>IFERROR(__xludf.DUMMYFUNCTION("""COMPUTED_VALUE"""),"old_page")</f>
        <v>old_page</v>
      </c>
      <c r="E3027" s="1">
        <f>IFERROR(__xludf.DUMMYFUNCTION("""COMPUTED_VALUE"""),0.0)</f>
        <v>0</v>
      </c>
    </row>
    <row r="3028">
      <c r="A3028" s="1">
        <f>IFERROR(__xludf.DUMMYFUNCTION("""COMPUTED_VALUE"""),860422.0)</f>
        <v>860422</v>
      </c>
      <c r="B3028" s="2">
        <f>IFERROR(__xludf.DUMMYFUNCTION("""COMPUTED_VALUE"""),42748.236241192906)</f>
        <v>42748.23624</v>
      </c>
      <c r="C3028" s="1" t="str">
        <f>IFERROR(__xludf.DUMMYFUNCTION("""COMPUTED_VALUE"""),"control")</f>
        <v>control</v>
      </c>
      <c r="D3028" s="1" t="str">
        <f>IFERROR(__xludf.DUMMYFUNCTION("""COMPUTED_VALUE"""),"old_page")</f>
        <v>old_page</v>
      </c>
      <c r="E3028" s="1">
        <f>IFERROR(__xludf.DUMMYFUNCTION("""COMPUTED_VALUE"""),0.0)</f>
        <v>0</v>
      </c>
    </row>
    <row r="3029">
      <c r="A3029" s="1">
        <f>IFERROR(__xludf.DUMMYFUNCTION("""COMPUTED_VALUE"""),724107.0)</f>
        <v>724107</v>
      </c>
      <c r="B3029" s="2">
        <f>IFERROR(__xludf.DUMMYFUNCTION("""COMPUTED_VALUE"""),42757.04645587475)</f>
        <v>42757.04646</v>
      </c>
      <c r="C3029" s="1" t="str">
        <f>IFERROR(__xludf.DUMMYFUNCTION("""COMPUTED_VALUE"""),"treatment")</f>
        <v>treatment</v>
      </c>
      <c r="D3029" s="1" t="str">
        <f>IFERROR(__xludf.DUMMYFUNCTION("""COMPUTED_VALUE"""),"new_page")</f>
        <v>new_page</v>
      </c>
      <c r="E3029" s="1">
        <f>IFERROR(__xludf.DUMMYFUNCTION("""COMPUTED_VALUE"""),0.0)</f>
        <v>0</v>
      </c>
    </row>
    <row r="3030">
      <c r="A3030" s="1">
        <f>IFERROR(__xludf.DUMMYFUNCTION("""COMPUTED_VALUE"""),819403.0)</f>
        <v>819403</v>
      </c>
      <c r="B3030" s="2">
        <f>IFERROR(__xludf.DUMMYFUNCTION("""COMPUTED_VALUE"""),42749.7501617284)</f>
        <v>42749.75016</v>
      </c>
      <c r="C3030" s="1" t="str">
        <f>IFERROR(__xludf.DUMMYFUNCTION("""COMPUTED_VALUE"""),"control")</f>
        <v>control</v>
      </c>
      <c r="D3030" s="1" t="str">
        <f>IFERROR(__xludf.DUMMYFUNCTION("""COMPUTED_VALUE"""),"old_page")</f>
        <v>old_page</v>
      </c>
      <c r="E3030" s="1">
        <f>IFERROR(__xludf.DUMMYFUNCTION("""COMPUTED_VALUE"""),0.0)</f>
        <v>0</v>
      </c>
    </row>
    <row r="3031">
      <c r="A3031" s="1">
        <f>IFERROR(__xludf.DUMMYFUNCTION("""COMPUTED_VALUE"""),664697.0)</f>
        <v>664697</v>
      </c>
      <c r="B3031" s="2">
        <f>IFERROR(__xludf.DUMMYFUNCTION("""COMPUTED_VALUE"""),42755.2778565171)</f>
        <v>42755.27786</v>
      </c>
      <c r="C3031" s="1" t="str">
        <f>IFERROR(__xludf.DUMMYFUNCTION("""COMPUTED_VALUE"""),"treatment")</f>
        <v>treatment</v>
      </c>
      <c r="D3031" s="1" t="str">
        <f>IFERROR(__xludf.DUMMYFUNCTION("""COMPUTED_VALUE"""),"new_page")</f>
        <v>new_page</v>
      </c>
      <c r="E3031" s="1">
        <f>IFERROR(__xludf.DUMMYFUNCTION("""COMPUTED_VALUE"""),0.0)</f>
        <v>0</v>
      </c>
    </row>
    <row r="3032">
      <c r="A3032" s="1">
        <f>IFERROR(__xludf.DUMMYFUNCTION("""COMPUTED_VALUE"""),862628.0)</f>
        <v>862628</v>
      </c>
      <c r="B3032" s="2">
        <f>IFERROR(__xludf.DUMMYFUNCTION("""COMPUTED_VALUE"""),42747.58446106001)</f>
        <v>42747.58446</v>
      </c>
      <c r="C3032" s="1" t="str">
        <f>IFERROR(__xludf.DUMMYFUNCTION("""COMPUTED_VALUE"""),"control")</f>
        <v>control</v>
      </c>
      <c r="D3032" s="1" t="str">
        <f>IFERROR(__xludf.DUMMYFUNCTION("""COMPUTED_VALUE"""),"old_page")</f>
        <v>old_page</v>
      </c>
      <c r="E3032" s="1">
        <f>IFERROR(__xludf.DUMMYFUNCTION("""COMPUTED_VALUE"""),1.0)</f>
        <v>1</v>
      </c>
    </row>
    <row r="3033">
      <c r="A3033" s="1">
        <f>IFERROR(__xludf.DUMMYFUNCTION("""COMPUTED_VALUE"""),630670.0)</f>
        <v>630670</v>
      </c>
      <c r="B3033" s="2">
        <f>IFERROR(__xludf.DUMMYFUNCTION("""COMPUTED_VALUE"""),42752.60353999991)</f>
        <v>42752.60354</v>
      </c>
      <c r="C3033" s="1" t="str">
        <f>IFERROR(__xludf.DUMMYFUNCTION("""COMPUTED_VALUE"""),"control")</f>
        <v>control</v>
      </c>
      <c r="D3033" s="1" t="str">
        <f>IFERROR(__xludf.DUMMYFUNCTION("""COMPUTED_VALUE"""),"old_page")</f>
        <v>old_page</v>
      </c>
      <c r="E3033" s="1">
        <f>IFERROR(__xludf.DUMMYFUNCTION("""COMPUTED_VALUE"""),0.0)</f>
        <v>0</v>
      </c>
    </row>
    <row r="3034">
      <c r="A3034" s="1">
        <f>IFERROR(__xludf.DUMMYFUNCTION("""COMPUTED_VALUE"""),666190.0)</f>
        <v>666190</v>
      </c>
      <c r="B3034" s="2">
        <f>IFERROR(__xludf.DUMMYFUNCTION("""COMPUTED_VALUE"""),42758.837197339315)</f>
        <v>42758.8372</v>
      </c>
      <c r="C3034" s="1" t="str">
        <f>IFERROR(__xludf.DUMMYFUNCTION("""COMPUTED_VALUE"""),"treatment")</f>
        <v>treatment</v>
      </c>
      <c r="D3034" s="1" t="str">
        <f>IFERROR(__xludf.DUMMYFUNCTION("""COMPUTED_VALUE"""),"new_page")</f>
        <v>new_page</v>
      </c>
      <c r="E3034" s="1">
        <f>IFERROR(__xludf.DUMMYFUNCTION("""COMPUTED_VALUE"""),0.0)</f>
        <v>0</v>
      </c>
    </row>
    <row r="3035">
      <c r="A3035" s="1">
        <f>IFERROR(__xludf.DUMMYFUNCTION("""COMPUTED_VALUE"""),879815.0)</f>
        <v>879815</v>
      </c>
      <c r="B3035" s="2">
        <f>IFERROR(__xludf.DUMMYFUNCTION("""COMPUTED_VALUE"""),42750.65651501341)</f>
        <v>42750.65652</v>
      </c>
      <c r="C3035" s="1" t="str">
        <f>IFERROR(__xludf.DUMMYFUNCTION("""COMPUTED_VALUE"""),"treatment")</f>
        <v>treatment</v>
      </c>
      <c r="D3035" s="1" t="str">
        <f>IFERROR(__xludf.DUMMYFUNCTION("""COMPUTED_VALUE"""),"new_page")</f>
        <v>new_page</v>
      </c>
      <c r="E3035" s="1">
        <f>IFERROR(__xludf.DUMMYFUNCTION("""COMPUTED_VALUE"""),0.0)</f>
        <v>0</v>
      </c>
    </row>
    <row r="3036">
      <c r="A3036" s="1">
        <f>IFERROR(__xludf.DUMMYFUNCTION("""COMPUTED_VALUE"""),937201.0)</f>
        <v>937201</v>
      </c>
      <c r="B3036" s="2">
        <f>IFERROR(__xludf.DUMMYFUNCTION("""COMPUTED_VALUE"""),42759.41048850985)</f>
        <v>42759.41049</v>
      </c>
      <c r="C3036" s="1" t="str">
        <f>IFERROR(__xludf.DUMMYFUNCTION("""COMPUTED_VALUE"""),"control")</f>
        <v>control</v>
      </c>
      <c r="D3036" s="1" t="str">
        <f>IFERROR(__xludf.DUMMYFUNCTION("""COMPUTED_VALUE"""),"old_page")</f>
        <v>old_page</v>
      </c>
      <c r="E3036" s="1">
        <f>IFERROR(__xludf.DUMMYFUNCTION("""COMPUTED_VALUE"""),0.0)</f>
        <v>0</v>
      </c>
    </row>
    <row r="3037">
      <c r="A3037" s="1">
        <f>IFERROR(__xludf.DUMMYFUNCTION("""COMPUTED_VALUE"""),740634.0)</f>
        <v>740634</v>
      </c>
      <c r="B3037" s="2">
        <f>IFERROR(__xludf.DUMMYFUNCTION("""COMPUTED_VALUE"""),42753.629136197735)</f>
        <v>42753.62914</v>
      </c>
      <c r="C3037" s="1" t="str">
        <f>IFERROR(__xludf.DUMMYFUNCTION("""COMPUTED_VALUE"""),"control")</f>
        <v>control</v>
      </c>
      <c r="D3037" s="1" t="str">
        <f>IFERROR(__xludf.DUMMYFUNCTION("""COMPUTED_VALUE"""),"old_page")</f>
        <v>old_page</v>
      </c>
      <c r="E3037" s="1">
        <f>IFERROR(__xludf.DUMMYFUNCTION("""COMPUTED_VALUE"""),1.0)</f>
        <v>1</v>
      </c>
    </row>
    <row r="3038">
      <c r="A3038" s="1">
        <f>IFERROR(__xludf.DUMMYFUNCTION("""COMPUTED_VALUE"""),807719.0)</f>
        <v>807719</v>
      </c>
      <c r="B3038" s="2">
        <f>IFERROR(__xludf.DUMMYFUNCTION("""COMPUTED_VALUE"""),42746.418803405104)</f>
        <v>42746.4188</v>
      </c>
      <c r="C3038" s="1" t="str">
        <f>IFERROR(__xludf.DUMMYFUNCTION("""COMPUTED_VALUE"""),"control")</f>
        <v>control</v>
      </c>
      <c r="D3038" s="1" t="str">
        <f>IFERROR(__xludf.DUMMYFUNCTION("""COMPUTED_VALUE"""),"old_page")</f>
        <v>old_page</v>
      </c>
      <c r="E3038" s="1">
        <f>IFERROR(__xludf.DUMMYFUNCTION("""COMPUTED_VALUE"""),0.0)</f>
        <v>0</v>
      </c>
    </row>
    <row r="3039">
      <c r="A3039" s="1">
        <f>IFERROR(__xludf.DUMMYFUNCTION("""COMPUTED_VALUE"""),820107.0)</f>
        <v>820107</v>
      </c>
      <c r="B3039" s="2">
        <f>IFERROR(__xludf.DUMMYFUNCTION("""COMPUTED_VALUE"""),42744.61425989354)</f>
        <v>42744.61426</v>
      </c>
      <c r="C3039" s="1" t="str">
        <f>IFERROR(__xludf.DUMMYFUNCTION("""COMPUTED_VALUE"""),"treatment")</f>
        <v>treatment</v>
      </c>
      <c r="D3039" s="1" t="str">
        <f>IFERROR(__xludf.DUMMYFUNCTION("""COMPUTED_VALUE"""),"new_page")</f>
        <v>new_page</v>
      </c>
      <c r="E3039" s="1">
        <f>IFERROR(__xludf.DUMMYFUNCTION("""COMPUTED_VALUE"""),0.0)</f>
        <v>0</v>
      </c>
    </row>
    <row r="3040">
      <c r="A3040" s="1">
        <f>IFERROR(__xludf.DUMMYFUNCTION("""COMPUTED_VALUE"""),934327.0)</f>
        <v>934327</v>
      </c>
      <c r="B3040" s="2">
        <f>IFERROR(__xludf.DUMMYFUNCTION("""COMPUTED_VALUE"""),42740.88957734262)</f>
        <v>42740.88958</v>
      </c>
      <c r="C3040" s="1" t="str">
        <f>IFERROR(__xludf.DUMMYFUNCTION("""COMPUTED_VALUE"""),"treatment")</f>
        <v>treatment</v>
      </c>
      <c r="D3040" s="1" t="str">
        <f>IFERROR(__xludf.DUMMYFUNCTION("""COMPUTED_VALUE"""),"new_page")</f>
        <v>new_page</v>
      </c>
      <c r="E3040" s="1">
        <f>IFERROR(__xludf.DUMMYFUNCTION("""COMPUTED_VALUE"""),0.0)</f>
        <v>0</v>
      </c>
    </row>
    <row r="3041">
      <c r="A3041" s="1">
        <f>IFERROR(__xludf.DUMMYFUNCTION("""COMPUTED_VALUE"""),651073.0)</f>
        <v>651073</v>
      </c>
      <c r="B3041" s="2">
        <f>IFERROR(__xludf.DUMMYFUNCTION("""COMPUTED_VALUE"""),42757.639716048296)</f>
        <v>42757.63972</v>
      </c>
      <c r="C3041" s="1" t="str">
        <f>IFERROR(__xludf.DUMMYFUNCTION("""COMPUTED_VALUE"""),"control")</f>
        <v>control</v>
      </c>
      <c r="D3041" s="1" t="str">
        <f>IFERROR(__xludf.DUMMYFUNCTION("""COMPUTED_VALUE"""),"old_page")</f>
        <v>old_page</v>
      </c>
      <c r="E3041" s="1">
        <f>IFERROR(__xludf.DUMMYFUNCTION("""COMPUTED_VALUE"""),0.0)</f>
        <v>0</v>
      </c>
    </row>
    <row r="3042">
      <c r="A3042" s="1">
        <f>IFERROR(__xludf.DUMMYFUNCTION("""COMPUTED_VALUE"""),862991.0)</f>
        <v>862991</v>
      </c>
      <c r="B3042" s="2">
        <f>IFERROR(__xludf.DUMMYFUNCTION("""COMPUTED_VALUE"""),42745.72934546646)</f>
        <v>42745.72935</v>
      </c>
      <c r="C3042" s="1" t="str">
        <f>IFERROR(__xludf.DUMMYFUNCTION("""COMPUTED_VALUE"""),"treatment")</f>
        <v>treatment</v>
      </c>
      <c r="D3042" s="1" t="str">
        <f>IFERROR(__xludf.DUMMYFUNCTION("""COMPUTED_VALUE"""),"new_page")</f>
        <v>new_page</v>
      </c>
      <c r="E3042" s="1">
        <f>IFERROR(__xludf.DUMMYFUNCTION("""COMPUTED_VALUE"""),0.0)</f>
        <v>0</v>
      </c>
    </row>
    <row r="3043">
      <c r="A3043" s="1">
        <f>IFERROR(__xludf.DUMMYFUNCTION("""COMPUTED_VALUE"""),691956.0)</f>
        <v>691956</v>
      </c>
      <c r="B3043" s="2">
        <f>IFERROR(__xludf.DUMMYFUNCTION("""COMPUTED_VALUE"""),42752.281858920614)</f>
        <v>42752.28186</v>
      </c>
      <c r="C3043" s="1" t="str">
        <f>IFERROR(__xludf.DUMMYFUNCTION("""COMPUTED_VALUE"""),"treatment")</f>
        <v>treatment</v>
      </c>
      <c r="D3043" s="1" t="str">
        <f>IFERROR(__xludf.DUMMYFUNCTION("""COMPUTED_VALUE"""),"new_page")</f>
        <v>new_page</v>
      </c>
      <c r="E3043" s="1">
        <f>IFERROR(__xludf.DUMMYFUNCTION("""COMPUTED_VALUE"""),0.0)</f>
        <v>0</v>
      </c>
    </row>
    <row r="3044">
      <c r="A3044" s="1">
        <f>IFERROR(__xludf.DUMMYFUNCTION("""COMPUTED_VALUE"""),736887.0)</f>
        <v>736887</v>
      </c>
      <c r="B3044" s="2">
        <f>IFERROR(__xludf.DUMMYFUNCTION("""COMPUTED_VALUE"""),42746.82819493602)</f>
        <v>42746.82819</v>
      </c>
      <c r="C3044" s="1" t="str">
        <f>IFERROR(__xludf.DUMMYFUNCTION("""COMPUTED_VALUE"""),"control")</f>
        <v>control</v>
      </c>
      <c r="D3044" s="1" t="str">
        <f>IFERROR(__xludf.DUMMYFUNCTION("""COMPUTED_VALUE"""),"old_page")</f>
        <v>old_page</v>
      </c>
      <c r="E3044" s="1">
        <f>IFERROR(__xludf.DUMMYFUNCTION("""COMPUTED_VALUE"""),0.0)</f>
        <v>0</v>
      </c>
    </row>
    <row r="3045">
      <c r="A3045" s="1">
        <f>IFERROR(__xludf.DUMMYFUNCTION("""COMPUTED_VALUE"""),864506.0)</f>
        <v>864506</v>
      </c>
      <c r="B3045" s="2">
        <f>IFERROR(__xludf.DUMMYFUNCTION("""COMPUTED_VALUE"""),42749.7662630003)</f>
        <v>42749.76626</v>
      </c>
      <c r="C3045" s="1" t="str">
        <f>IFERROR(__xludf.DUMMYFUNCTION("""COMPUTED_VALUE"""),"treatment")</f>
        <v>treatment</v>
      </c>
      <c r="D3045" s="1" t="str">
        <f>IFERROR(__xludf.DUMMYFUNCTION("""COMPUTED_VALUE"""),"new_page")</f>
        <v>new_page</v>
      </c>
      <c r="E3045" s="1">
        <f>IFERROR(__xludf.DUMMYFUNCTION("""COMPUTED_VALUE"""),0.0)</f>
        <v>0</v>
      </c>
    </row>
    <row r="3046">
      <c r="A3046" s="1">
        <f>IFERROR(__xludf.DUMMYFUNCTION("""COMPUTED_VALUE"""),712428.0)</f>
        <v>712428</v>
      </c>
      <c r="B3046" s="2">
        <f>IFERROR(__xludf.DUMMYFUNCTION("""COMPUTED_VALUE"""),42748.3513053772)</f>
        <v>42748.35131</v>
      </c>
      <c r="C3046" s="1" t="str">
        <f>IFERROR(__xludf.DUMMYFUNCTION("""COMPUTED_VALUE"""),"treatment")</f>
        <v>treatment</v>
      </c>
      <c r="D3046" s="1" t="str">
        <f>IFERROR(__xludf.DUMMYFUNCTION("""COMPUTED_VALUE"""),"new_page")</f>
        <v>new_page</v>
      </c>
      <c r="E3046" s="1">
        <f>IFERROR(__xludf.DUMMYFUNCTION("""COMPUTED_VALUE"""),0.0)</f>
        <v>0</v>
      </c>
    </row>
    <row r="3047">
      <c r="A3047" s="1">
        <f>IFERROR(__xludf.DUMMYFUNCTION("""COMPUTED_VALUE"""),926346.0)</f>
        <v>926346</v>
      </c>
      <c r="B3047" s="2">
        <f>IFERROR(__xludf.DUMMYFUNCTION("""COMPUTED_VALUE"""),42741.90503530822)</f>
        <v>42741.90504</v>
      </c>
      <c r="C3047" s="1" t="str">
        <f>IFERROR(__xludf.DUMMYFUNCTION("""COMPUTED_VALUE"""),"treatment")</f>
        <v>treatment</v>
      </c>
      <c r="D3047" s="1" t="str">
        <f>IFERROR(__xludf.DUMMYFUNCTION("""COMPUTED_VALUE"""),"new_page")</f>
        <v>new_page</v>
      </c>
      <c r="E3047" s="1">
        <f>IFERROR(__xludf.DUMMYFUNCTION("""COMPUTED_VALUE"""),0.0)</f>
        <v>0</v>
      </c>
    </row>
    <row r="3048">
      <c r="A3048" s="1">
        <f>IFERROR(__xludf.DUMMYFUNCTION("""COMPUTED_VALUE"""),936873.0)</f>
        <v>936873</v>
      </c>
      <c r="B3048" s="2">
        <f>IFERROR(__xludf.DUMMYFUNCTION("""COMPUTED_VALUE"""),42738.66444152935)</f>
        <v>42738.66444</v>
      </c>
      <c r="C3048" s="1" t="str">
        <f>IFERROR(__xludf.DUMMYFUNCTION("""COMPUTED_VALUE"""),"control")</f>
        <v>control</v>
      </c>
      <c r="D3048" s="1" t="str">
        <f>IFERROR(__xludf.DUMMYFUNCTION("""COMPUTED_VALUE"""),"old_page")</f>
        <v>old_page</v>
      </c>
      <c r="E3048" s="1">
        <f>IFERROR(__xludf.DUMMYFUNCTION("""COMPUTED_VALUE"""),0.0)</f>
        <v>0</v>
      </c>
    </row>
    <row r="3049">
      <c r="A3049" s="1">
        <f>IFERROR(__xludf.DUMMYFUNCTION("""COMPUTED_VALUE"""),704799.0)</f>
        <v>704799</v>
      </c>
      <c r="B3049" s="2">
        <f>IFERROR(__xludf.DUMMYFUNCTION("""COMPUTED_VALUE"""),42743.4799088542)</f>
        <v>42743.47991</v>
      </c>
      <c r="C3049" s="1" t="str">
        <f>IFERROR(__xludf.DUMMYFUNCTION("""COMPUTED_VALUE"""),"treatment")</f>
        <v>treatment</v>
      </c>
      <c r="D3049" s="1" t="str">
        <f>IFERROR(__xludf.DUMMYFUNCTION("""COMPUTED_VALUE"""),"new_page")</f>
        <v>new_page</v>
      </c>
      <c r="E3049" s="1">
        <f>IFERROR(__xludf.DUMMYFUNCTION("""COMPUTED_VALUE"""),0.0)</f>
        <v>0</v>
      </c>
    </row>
    <row r="3050">
      <c r="A3050" s="1">
        <f>IFERROR(__xludf.DUMMYFUNCTION("""COMPUTED_VALUE"""),836295.0)</f>
        <v>836295</v>
      </c>
      <c r="B3050" s="2">
        <f>IFERROR(__xludf.DUMMYFUNCTION("""COMPUTED_VALUE"""),42742.708403485834)</f>
        <v>42742.7084</v>
      </c>
      <c r="C3050" s="1" t="str">
        <f>IFERROR(__xludf.DUMMYFUNCTION("""COMPUTED_VALUE"""),"control")</f>
        <v>control</v>
      </c>
      <c r="D3050" s="1" t="str">
        <f>IFERROR(__xludf.DUMMYFUNCTION("""COMPUTED_VALUE"""),"old_page")</f>
        <v>old_page</v>
      </c>
      <c r="E3050" s="1">
        <f>IFERROR(__xludf.DUMMYFUNCTION("""COMPUTED_VALUE"""),0.0)</f>
        <v>0</v>
      </c>
    </row>
    <row r="3051">
      <c r="A3051" s="1">
        <f>IFERROR(__xludf.DUMMYFUNCTION("""COMPUTED_VALUE"""),801251.0)</f>
        <v>801251</v>
      </c>
      <c r="B3051" s="2">
        <f>IFERROR(__xludf.DUMMYFUNCTION("""COMPUTED_VALUE"""),42737.574628448856)</f>
        <v>42737.57463</v>
      </c>
      <c r="C3051" s="1" t="str">
        <f>IFERROR(__xludf.DUMMYFUNCTION("""COMPUTED_VALUE"""),"control")</f>
        <v>control</v>
      </c>
      <c r="D3051" s="1" t="str">
        <f>IFERROR(__xludf.DUMMYFUNCTION("""COMPUTED_VALUE"""),"old_page")</f>
        <v>old_page</v>
      </c>
      <c r="E3051" s="1">
        <f>IFERROR(__xludf.DUMMYFUNCTION("""COMPUTED_VALUE"""),1.0)</f>
        <v>1</v>
      </c>
    </row>
    <row r="3052">
      <c r="A3052" s="1">
        <f>IFERROR(__xludf.DUMMYFUNCTION("""COMPUTED_VALUE"""),885324.0)</f>
        <v>885324</v>
      </c>
      <c r="B3052" s="2">
        <f>IFERROR(__xludf.DUMMYFUNCTION("""COMPUTED_VALUE"""),42751.07126229945)</f>
        <v>42751.07126</v>
      </c>
      <c r="C3052" s="1" t="str">
        <f>IFERROR(__xludf.DUMMYFUNCTION("""COMPUTED_VALUE"""),"control")</f>
        <v>control</v>
      </c>
      <c r="D3052" s="1" t="str">
        <f>IFERROR(__xludf.DUMMYFUNCTION("""COMPUTED_VALUE"""),"old_page")</f>
        <v>old_page</v>
      </c>
      <c r="E3052" s="1">
        <f>IFERROR(__xludf.DUMMYFUNCTION("""COMPUTED_VALUE"""),0.0)</f>
        <v>0</v>
      </c>
    </row>
    <row r="3053">
      <c r="A3053" s="1">
        <f>IFERROR(__xludf.DUMMYFUNCTION("""COMPUTED_VALUE"""),750714.0)</f>
        <v>750714</v>
      </c>
      <c r="B3053" s="2">
        <f>IFERROR(__xludf.DUMMYFUNCTION("""COMPUTED_VALUE"""),42750.19392080665)</f>
        <v>42750.19392</v>
      </c>
      <c r="C3053" s="1" t="str">
        <f>IFERROR(__xludf.DUMMYFUNCTION("""COMPUTED_VALUE"""),"control")</f>
        <v>control</v>
      </c>
      <c r="D3053" s="1" t="str">
        <f>IFERROR(__xludf.DUMMYFUNCTION("""COMPUTED_VALUE"""),"old_page")</f>
        <v>old_page</v>
      </c>
      <c r="E3053" s="1">
        <f>IFERROR(__xludf.DUMMYFUNCTION("""COMPUTED_VALUE"""),0.0)</f>
        <v>0</v>
      </c>
    </row>
    <row r="3054">
      <c r="A3054" s="1">
        <f>IFERROR(__xludf.DUMMYFUNCTION("""COMPUTED_VALUE"""),797817.0)</f>
        <v>797817</v>
      </c>
      <c r="B3054" s="2">
        <f>IFERROR(__xludf.DUMMYFUNCTION("""COMPUTED_VALUE"""),42739.840168111805)</f>
        <v>42739.84017</v>
      </c>
      <c r="C3054" s="1" t="str">
        <f>IFERROR(__xludf.DUMMYFUNCTION("""COMPUTED_VALUE"""),"control")</f>
        <v>control</v>
      </c>
      <c r="D3054" s="1" t="str">
        <f>IFERROR(__xludf.DUMMYFUNCTION("""COMPUTED_VALUE"""),"old_page")</f>
        <v>old_page</v>
      </c>
      <c r="E3054" s="1">
        <f>IFERROR(__xludf.DUMMYFUNCTION("""COMPUTED_VALUE"""),0.0)</f>
        <v>0</v>
      </c>
    </row>
    <row r="3055">
      <c r="A3055" s="1">
        <f>IFERROR(__xludf.DUMMYFUNCTION("""COMPUTED_VALUE"""),785341.0)</f>
        <v>785341</v>
      </c>
      <c r="B3055" s="2">
        <f>IFERROR(__xludf.DUMMYFUNCTION("""COMPUTED_VALUE"""),42748.17967434117)</f>
        <v>42748.17967</v>
      </c>
      <c r="C3055" s="1" t="str">
        <f>IFERROR(__xludf.DUMMYFUNCTION("""COMPUTED_VALUE"""),"treatment")</f>
        <v>treatment</v>
      </c>
      <c r="D3055" s="1" t="str">
        <f>IFERROR(__xludf.DUMMYFUNCTION("""COMPUTED_VALUE"""),"new_page")</f>
        <v>new_page</v>
      </c>
      <c r="E3055" s="1">
        <f>IFERROR(__xludf.DUMMYFUNCTION("""COMPUTED_VALUE"""),0.0)</f>
        <v>0</v>
      </c>
    </row>
    <row r="3056">
      <c r="A3056" s="1">
        <f>IFERROR(__xludf.DUMMYFUNCTION("""COMPUTED_VALUE"""),860068.0)</f>
        <v>860068</v>
      </c>
      <c r="B3056" s="2">
        <f>IFERROR(__xludf.DUMMYFUNCTION("""COMPUTED_VALUE"""),42757.418163381146)</f>
        <v>42757.41816</v>
      </c>
      <c r="C3056" s="1" t="str">
        <f>IFERROR(__xludf.DUMMYFUNCTION("""COMPUTED_VALUE"""),"treatment")</f>
        <v>treatment</v>
      </c>
      <c r="D3056" s="1" t="str">
        <f>IFERROR(__xludf.DUMMYFUNCTION("""COMPUTED_VALUE"""),"new_page")</f>
        <v>new_page</v>
      </c>
      <c r="E3056" s="1">
        <f>IFERROR(__xludf.DUMMYFUNCTION("""COMPUTED_VALUE"""),0.0)</f>
        <v>0</v>
      </c>
    </row>
    <row r="3057">
      <c r="A3057" s="1">
        <f>IFERROR(__xludf.DUMMYFUNCTION("""COMPUTED_VALUE"""),634971.0)</f>
        <v>634971</v>
      </c>
      <c r="B3057" s="2">
        <f>IFERROR(__xludf.DUMMYFUNCTION("""COMPUTED_VALUE"""),42746.91583395552)</f>
        <v>42746.91583</v>
      </c>
      <c r="C3057" s="1" t="str">
        <f>IFERROR(__xludf.DUMMYFUNCTION("""COMPUTED_VALUE"""),"control")</f>
        <v>control</v>
      </c>
      <c r="D3057" s="1" t="str">
        <f>IFERROR(__xludf.DUMMYFUNCTION("""COMPUTED_VALUE"""),"old_page")</f>
        <v>old_page</v>
      </c>
      <c r="E3057" s="1">
        <f>IFERROR(__xludf.DUMMYFUNCTION("""COMPUTED_VALUE"""),0.0)</f>
        <v>0</v>
      </c>
    </row>
    <row r="3058">
      <c r="A3058" s="1">
        <f>IFERROR(__xludf.DUMMYFUNCTION("""COMPUTED_VALUE"""),693428.0)</f>
        <v>693428</v>
      </c>
      <c r="B3058" s="2">
        <f>IFERROR(__xludf.DUMMYFUNCTION("""COMPUTED_VALUE"""),42754.36807103522)</f>
        <v>42754.36807</v>
      </c>
      <c r="C3058" s="1" t="str">
        <f>IFERROR(__xludf.DUMMYFUNCTION("""COMPUTED_VALUE"""),"treatment")</f>
        <v>treatment</v>
      </c>
      <c r="D3058" s="1" t="str">
        <f>IFERROR(__xludf.DUMMYFUNCTION("""COMPUTED_VALUE"""),"new_page")</f>
        <v>new_page</v>
      </c>
      <c r="E3058" s="1">
        <f>IFERROR(__xludf.DUMMYFUNCTION("""COMPUTED_VALUE"""),0.0)</f>
        <v>0</v>
      </c>
    </row>
    <row r="3059">
      <c r="A3059" s="1">
        <f>IFERROR(__xludf.DUMMYFUNCTION("""COMPUTED_VALUE"""),796714.0)</f>
        <v>796714</v>
      </c>
      <c r="B3059" s="2">
        <f>IFERROR(__xludf.DUMMYFUNCTION("""COMPUTED_VALUE"""),42756.1305119223)</f>
        <v>42756.13051</v>
      </c>
      <c r="C3059" s="1" t="str">
        <f>IFERROR(__xludf.DUMMYFUNCTION("""COMPUTED_VALUE"""),"treatment")</f>
        <v>treatment</v>
      </c>
      <c r="D3059" s="1" t="str">
        <f>IFERROR(__xludf.DUMMYFUNCTION("""COMPUTED_VALUE"""),"new_page")</f>
        <v>new_page</v>
      </c>
      <c r="E3059" s="1">
        <f>IFERROR(__xludf.DUMMYFUNCTION("""COMPUTED_VALUE"""),0.0)</f>
        <v>0</v>
      </c>
    </row>
    <row r="3060">
      <c r="A3060" s="1">
        <f>IFERROR(__xludf.DUMMYFUNCTION("""COMPUTED_VALUE"""),674041.0)</f>
        <v>674041</v>
      </c>
      <c r="B3060" s="2">
        <f>IFERROR(__xludf.DUMMYFUNCTION("""COMPUTED_VALUE"""),42739.01043598156)</f>
        <v>42739.01044</v>
      </c>
      <c r="C3060" s="1" t="str">
        <f>IFERROR(__xludf.DUMMYFUNCTION("""COMPUTED_VALUE"""),"control")</f>
        <v>control</v>
      </c>
      <c r="D3060" s="1" t="str">
        <f>IFERROR(__xludf.DUMMYFUNCTION("""COMPUTED_VALUE"""),"old_page")</f>
        <v>old_page</v>
      </c>
      <c r="E3060" s="1">
        <f>IFERROR(__xludf.DUMMYFUNCTION("""COMPUTED_VALUE"""),0.0)</f>
        <v>0</v>
      </c>
    </row>
    <row r="3061">
      <c r="A3061" s="1">
        <f>IFERROR(__xludf.DUMMYFUNCTION("""COMPUTED_VALUE"""),824418.0)</f>
        <v>824418</v>
      </c>
      <c r="B3061" s="2">
        <f>IFERROR(__xludf.DUMMYFUNCTION("""COMPUTED_VALUE"""),42746.833230363125)</f>
        <v>42746.83323</v>
      </c>
      <c r="C3061" s="1" t="str">
        <f>IFERROR(__xludf.DUMMYFUNCTION("""COMPUTED_VALUE"""),"control")</f>
        <v>control</v>
      </c>
      <c r="D3061" s="1" t="str">
        <f>IFERROR(__xludf.DUMMYFUNCTION("""COMPUTED_VALUE"""),"old_page")</f>
        <v>old_page</v>
      </c>
      <c r="E3061" s="1">
        <f>IFERROR(__xludf.DUMMYFUNCTION("""COMPUTED_VALUE"""),0.0)</f>
        <v>0</v>
      </c>
    </row>
    <row r="3062">
      <c r="A3062" s="1">
        <f>IFERROR(__xludf.DUMMYFUNCTION("""COMPUTED_VALUE"""),761001.0)</f>
        <v>761001</v>
      </c>
      <c r="B3062" s="2">
        <f>IFERROR(__xludf.DUMMYFUNCTION("""COMPUTED_VALUE"""),42748.668987655634)</f>
        <v>42748.66899</v>
      </c>
      <c r="C3062" s="1" t="str">
        <f>IFERROR(__xludf.DUMMYFUNCTION("""COMPUTED_VALUE"""),"treatment")</f>
        <v>treatment</v>
      </c>
      <c r="D3062" s="1" t="str">
        <f>IFERROR(__xludf.DUMMYFUNCTION("""COMPUTED_VALUE"""),"new_page")</f>
        <v>new_page</v>
      </c>
      <c r="E3062" s="1">
        <f>IFERROR(__xludf.DUMMYFUNCTION("""COMPUTED_VALUE"""),0.0)</f>
        <v>0</v>
      </c>
    </row>
    <row r="3063">
      <c r="A3063" s="1">
        <f>IFERROR(__xludf.DUMMYFUNCTION("""COMPUTED_VALUE"""),665802.0)</f>
        <v>665802</v>
      </c>
      <c r="B3063" s="2">
        <f>IFERROR(__xludf.DUMMYFUNCTION("""COMPUTED_VALUE"""),42745.162768100716)</f>
        <v>42745.16277</v>
      </c>
      <c r="C3063" s="1" t="str">
        <f>IFERROR(__xludf.DUMMYFUNCTION("""COMPUTED_VALUE"""),"treatment")</f>
        <v>treatment</v>
      </c>
      <c r="D3063" s="1" t="str">
        <f>IFERROR(__xludf.DUMMYFUNCTION("""COMPUTED_VALUE"""),"new_page")</f>
        <v>new_page</v>
      </c>
      <c r="E3063" s="1">
        <f>IFERROR(__xludf.DUMMYFUNCTION("""COMPUTED_VALUE"""),0.0)</f>
        <v>0</v>
      </c>
    </row>
    <row r="3064">
      <c r="A3064" s="1">
        <f>IFERROR(__xludf.DUMMYFUNCTION("""COMPUTED_VALUE"""),911238.0)</f>
        <v>911238</v>
      </c>
      <c r="B3064" s="2">
        <f>IFERROR(__xludf.DUMMYFUNCTION("""COMPUTED_VALUE"""),42746.950168828706)</f>
        <v>42746.95017</v>
      </c>
      <c r="C3064" s="1" t="str">
        <f>IFERROR(__xludf.DUMMYFUNCTION("""COMPUTED_VALUE"""),"control")</f>
        <v>control</v>
      </c>
      <c r="D3064" s="1" t="str">
        <f>IFERROR(__xludf.DUMMYFUNCTION("""COMPUTED_VALUE"""),"old_page")</f>
        <v>old_page</v>
      </c>
      <c r="E3064" s="1">
        <f>IFERROR(__xludf.DUMMYFUNCTION("""COMPUTED_VALUE"""),0.0)</f>
        <v>0</v>
      </c>
    </row>
    <row r="3065">
      <c r="A3065" s="1">
        <f>IFERROR(__xludf.DUMMYFUNCTION("""COMPUTED_VALUE"""),837069.0)</f>
        <v>837069</v>
      </c>
      <c r="B3065" s="2">
        <f>IFERROR(__xludf.DUMMYFUNCTION("""COMPUTED_VALUE"""),42755.64061918728)</f>
        <v>42755.64062</v>
      </c>
      <c r="C3065" s="1" t="str">
        <f>IFERROR(__xludf.DUMMYFUNCTION("""COMPUTED_VALUE"""),"control")</f>
        <v>control</v>
      </c>
      <c r="D3065" s="1" t="str">
        <f>IFERROR(__xludf.DUMMYFUNCTION("""COMPUTED_VALUE"""),"old_page")</f>
        <v>old_page</v>
      </c>
      <c r="E3065" s="1">
        <f>IFERROR(__xludf.DUMMYFUNCTION("""COMPUTED_VALUE"""),0.0)</f>
        <v>0</v>
      </c>
    </row>
    <row r="3066">
      <c r="A3066" s="1">
        <f>IFERROR(__xludf.DUMMYFUNCTION("""COMPUTED_VALUE"""),751572.0)</f>
        <v>751572</v>
      </c>
      <c r="B3066" s="2">
        <f>IFERROR(__xludf.DUMMYFUNCTION("""COMPUTED_VALUE"""),42745.48189605534)</f>
        <v>42745.4819</v>
      </c>
      <c r="C3066" s="1" t="str">
        <f>IFERROR(__xludf.DUMMYFUNCTION("""COMPUTED_VALUE"""),"control")</f>
        <v>control</v>
      </c>
      <c r="D3066" s="1" t="str">
        <f>IFERROR(__xludf.DUMMYFUNCTION("""COMPUTED_VALUE"""),"old_page")</f>
        <v>old_page</v>
      </c>
      <c r="E3066" s="1">
        <f>IFERROR(__xludf.DUMMYFUNCTION("""COMPUTED_VALUE"""),0.0)</f>
        <v>0</v>
      </c>
    </row>
    <row r="3067">
      <c r="A3067" s="1">
        <f>IFERROR(__xludf.DUMMYFUNCTION("""COMPUTED_VALUE"""),675203.0)</f>
        <v>675203</v>
      </c>
      <c r="B3067" s="2">
        <f>IFERROR(__xludf.DUMMYFUNCTION("""COMPUTED_VALUE"""),42742.48091228934)</f>
        <v>42742.48091</v>
      </c>
      <c r="C3067" s="1" t="str">
        <f>IFERROR(__xludf.DUMMYFUNCTION("""COMPUTED_VALUE"""),"control")</f>
        <v>control</v>
      </c>
      <c r="D3067" s="1" t="str">
        <f>IFERROR(__xludf.DUMMYFUNCTION("""COMPUTED_VALUE"""),"old_page")</f>
        <v>old_page</v>
      </c>
      <c r="E3067" s="1">
        <f>IFERROR(__xludf.DUMMYFUNCTION("""COMPUTED_VALUE"""),0.0)</f>
        <v>0</v>
      </c>
    </row>
    <row r="3068">
      <c r="A3068" s="1">
        <f>IFERROR(__xludf.DUMMYFUNCTION("""COMPUTED_VALUE"""),825828.0)</f>
        <v>825828</v>
      </c>
      <c r="B3068" s="2">
        <f>IFERROR(__xludf.DUMMYFUNCTION("""COMPUTED_VALUE"""),42749.11449052846)</f>
        <v>42749.11449</v>
      </c>
      <c r="C3068" s="1" t="str">
        <f>IFERROR(__xludf.DUMMYFUNCTION("""COMPUTED_VALUE"""),"control")</f>
        <v>control</v>
      </c>
      <c r="D3068" s="1" t="str">
        <f>IFERROR(__xludf.DUMMYFUNCTION("""COMPUTED_VALUE"""),"old_page")</f>
        <v>old_page</v>
      </c>
      <c r="E3068" s="1">
        <f>IFERROR(__xludf.DUMMYFUNCTION("""COMPUTED_VALUE"""),0.0)</f>
        <v>0</v>
      </c>
    </row>
    <row r="3069">
      <c r="A3069" s="1">
        <f>IFERROR(__xludf.DUMMYFUNCTION("""COMPUTED_VALUE"""),932058.0)</f>
        <v>932058</v>
      </c>
      <c r="B3069" s="2">
        <f>IFERROR(__xludf.DUMMYFUNCTION("""COMPUTED_VALUE"""),42745.30576550947)</f>
        <v>42745.30577</v>
      </c>
      <c r="C3069" s="1" t="str">
        <f>IFERROR(__xludf.DUMMYFUNCTION("""COMPUTED_VALUE"""),"treatment")</f>
        <v>treatment</v>
      </c>
      <c r="D3069" s="1" t="str">
        <f>IFERROR(__xludf.DUMMYFUNCTION("""COMPUTED_VALUE"""),"new_page")</f>
        <v>new_page</v>
      </c>
      <c r="E3069" s="1">
        <f>IFERROR(__xludf.DUMMYFUNCTION("""COMPUTED_VALUE"""),0.0)</f>
        <v>0</v>
      </c>
    </row>
    <row r="3070">
      <c r="A3070" s="1">
        <f>IFERROR(__xludf.DUMMYFUNCTION("""COMPUTED_VALUE"""),701418.0)</f>
        <v>701418</v>
      </c>
      <c r="B3070" s="2">
        <f>IFERROR(__xludf.DUMMYFUNCTION("""COMPUTED_VALUE"""),42755.462351939466)</f>
        <v>42755.46235</v>
      </c>
      <c r="C3070" s="1" t="str">
        <f>IFERROR(__xludf.DUMMYFUNCTION("""COMPUTED_VALUE"""),"treatment")</f>
        <v>treatment</v>
      </c>
      <c r="D3070" s="1" t="str">
        <f>IFERROR(__xludf.DUMMYFUNCTION("""COMPUTED_VALUE"""),"new_page")</f>
        <v>new_page</v>
      </c>
      <c r="E3070" s="1">
        <f>IFERROR(__xludf.DUMMYFUNCTION("""COMPUTED_VALUE"""),0.0)</f>
        <v>0</v>
      </c>
    </row>
    <row r="3071">
      <c r="A3071" s="1">
        <f>IFERROR(__xludf.DUMMYFUNCTION("""COMPUTED_VALUE"""),905910.0)</f>
        <v>905910</v>
      </c>
      <c r="B3071" s="2">
        <f>IFERROR(__xludf.DUMMYFUNCTION("""COMPUTED_VALUE"""),42749.22413485726)</f>
        <v>42749.22413</v>
      </c>
      <c r="C3071" s="1" t="str">
        <f>IFERROR(__xludf.DUMMYFUNCTION("""COMPUTED_VALUE"""),"treatment")</f>
        <v>treatment</v>
      </c>
      <c r="D3071" s="1" t="str">
        <f>IFERROR(__xludf.DUMMYFUNCTION("""COMPUTED_VALUE"""),"new_page")</f>
        <v>new_page</v>
      </c>
      <c r="E3071" s="1">
        <f>IFERROR(__xludf.DUMMYFUNCTION("""COMPUTED_VALUE"""),0.0)</f>
        <v>0</v>
      </c>
    </row>
    <row r="3072">
      <c r="A3072" s="1">
        <f>IFERROR(__xludf.DUMMYFUNCTION("""COMPUTED_VALUE"""),713137.0)</f>
        <v>713137</v>
      </c>
      <c r="B3072" s="2">
        <f>IFERROR(__xludf.DUMMYFUNCTION("""COMPUTED_VALUE"""),42749.793248763934)</f>
        <v>42749.79325</v>
      </c>
      <c r="C3072" s="1" t="str">
        <f>IFERROR(__xludf.DUMMYFUNCTION("""COMPUTED_VALUE"""),"treatment")</f>
        <v>treatment</v>
      </c>
      <c r="D3072" s="1" t="str">
        <f>IFERROR(__xludf.DUMMYFUNCTION("""COMPUTED_VALUE"""),"new_page")</f>
        <v>new_page</v>
      </c>
      <c r="E3072" s="1">
        <f>IFERROR(__xludf.DUMMYFUNCTION("""COMPUTED_VALUE"""),1.0)</f>
        <v>1</v>
      </c>
    </row>
    <row r="3073">
      <c r="A3073" s="1">
        <f>IFERROR(__xludf.DUMMYFUNCTION("""COMPUTED_VALUE"""),856396.0)</f>
        <v>856396</v>
      </c>
      <c r="B3073" s="2">
        <f>IFERROR(__xludf.DUMMYFUNCTION("""COMPUTED_VALUE"""),42737.87870764995)</f>
        <v>42737.87871</v>
      </c>
      <c r="C3073" s="1" t="str">
        <f>IFERROR(__xludf.DUMMYFUNCTION("""COMPUTED_VALUE"""),"treatment")</f>
        <v>treatment</v>
      </c>
      <c r="D3073" s="1" t="str">
        <f>IFERROR(__xludf.DUMMYFUNCTION("""COMPUTED_VALUE"""),"new_page")</f>
        <v>new_page</v>
      </c>
      <c r="E3073" s="1">
        <f>IFERROR(__xludf.DUMMYFUNCTION("""COMPUTED_VALUE"""),0.0)</f>
        <v>0</v>
      </c>
    </row>
    <row r="3074">
      <c r="A3074" s="1">
        <f>IFERROR(__xludf.DUMMYFUNCTION("""COMPUTED_VALUE"""),663553.0)</f>
        <v>663553</v>
      </c>
      <c r="B3074" s="2">
        <f>IFERROR(__xludf.DUMMYFUNCTION("""COMPUTED_VALUE"""),42756.070638612786)</f>
        <v>42756.07064</v>
      </c>
      <c r="C3074" s="1" t="str">
        <f>IFERROR(__xludf.DUMMYFUNCTION("""COMPUTED_VALUE"""),"control")</f>
        <v>control</v>
      </c>
      <c r="D3074" s="1" t="str">
        <f>IFERROR(__xludf.DUMMYFUNCTION("""COMPUTED_VALUE"""),"old_page")</f>
        <v>old_page</v>
      </c>
      <c r="E3074" s="1">
        <f>IFERROR(__xludf.DUMMYFUNCTION("""COMPUTED_VALUE"""),0.0)</f>
        <v>0</v>
      </c>
    </row>
    <row r="3075">
      <c r="A3075" s="1">
        <f>IFERROR(__xludf.DUMMYFUNCTION("""COMPUTED_VALUE"""),631234.0)</f>
        <v>631234</v>
      </c>
      <c r="B3075" s="2">
        <f>IFERROR(__xludf.DUMMYFUNCTION("""COMPUTED_VALUE"""),42754.27483058811)</f>
        <v>42754.27483</v>
      </c>
      <c r="C3075" s="1" t="str">
        <f>IFERROR(__xludf.DUMMYFUNCTION("""COMPUTED_VALUE"""),"control")</f>
        <v>control</v>
      </c>
      <c r="D3075" s="1" t="str">
        <f>IFERROR(__xludf.DUMMYFUNCTION("""COMPUTED_VALUE"""),"old_page")</f>
        <v>old_page</v>
      </c>
      <c r="E3075" s="1">
        <f>IFERROR(__xludf.DUMMYFUNCTION("""COMPUTED_VALUE"""),0.0)</f>
        <v>0</v>
      </c>
    </row>
    <row r="3076">
      <c r="A3076" s="1">
        <f>IFERROR(__xludf.DUMMYFUNCTION("""COMPUTED_VALUE"""),907159.0)</f>
        <v>907159</v>
      </c>
      <c r="B3076" s="2">
        <f>IFERROR(__xludf.DUMMYFUNCTION("""COMPUTED_VALUE"""),42738.39794334753)</f>
        <v>42738.39794</v>
      </c>
      <c r="C3076" s="1" t="str">
        <f>IFERROR(__xludf.DUMMYFUNCTION("""COMPUTED_VALUE"""),"control")</f>
        <v>control</v>
      </c>
      <c r="D3076" s="1" t="str">
        <f>IFERROR(__xludf.DUMMYFUNCTION("""COMPUTED_VALUE"""),"old_page")</f>
        <v>old_page</v>
      </c>
      <c r="E3076" s="1">
        <f>IFERROR(__xludf.DUMMYFUNCTION("""COMPUTED_VALUE"""),0.0)</f>
        <v>0</v>
      </c>
    </row>
    <row r="3077">
      <c r="A3077" s="1">
        <f>IFERROR(__xludf.DUMMYFUNCTION("""COMPUTED_VALUE"""),644978.0)</f>
        <v>644978</v>
      </c>
      <c r="B3077" s="2">
        <f>IFERROR(__xludf.DUMMYFUNCTION("""COMPUTED_VALUE"""),42744.145712947306)</f>
        <v>42744.14571</v>
      </c>
      <c r="C3077" s="1" t="str">
        <f>IFERROR(__xludf.DUMMYFUNCTION("""COMPUTED_VALUE"""),"treatment")</f>
        <v>treatment</v>
      </c>
      <c r="D3077" s="1" t="str">
        <f>IFERROR(__xludf.DUMMYFUNCTION("""COMPUTED_VALUE"""),"new_page")</f>
        <v>new_page</v>
      </c>
      <c r="E3077" s="1">
        <f>IFERROR(__xludf.DUMMYFUNCTION("""COMPUTED_VALUE"""),0.0)</f>
        <v>0</v>
      </c>
    </row>
    <row r="3078">
      <c r="A3078" s="1">
        <f>IFERROR(__xludf.DUMMYFUNCTION("""COMPUTED_VALUE"""),671397.0)</f>
        <v>671397</v>
      </c>
      <c r="B3078" s="2">
        <f>IFERROR(__xludf.DUMMYFUNCTION("""COMPUTED_VALUE"""),42755.63283641675)</f>
        <v>42755.63284</v>
      </c>
      <c r="C3078" s="1" t="str">
        <f>IFERROR(__xludf.DUMMYFUNCTION("""COMPUTED_VALUE"""),"treatment")</f>
        <v>treatment</v>
      </c>
      <c r="D3078" s="1" t="str">
        <f>IFERROR(__xludf.DUMMYFUNCTION("""COMPUTED_VALUE"""),"new_page")</f>
        <v>new_page</v>
      </c>
      <c r="E3078" s="1">
        <f>IFERROR(__xludf.DUMMYFUNCTION("""COMPUTED_VALUE"""),1.0)</f>
        <v>1</v>
      </c>
    </row>
    <row r="3079">
      <c r="A3079" s="1">
        <f>IFERROR(__xludf.DUMMYFUNCTION("""COMPUTED_VALUE"""),733230.0)</f>
        <v>733230</v>
      </c>
      <c r="B3079" s="2">
        <f>IFERROR(__xludf.DUMMYFUNCTION("""COMPUTED_VALUE"""),42737.70950900728)</f>
        <v>42737.70951</v>
      </c>
      <c r="C3079" s="1" t="str">
        <f>IFERROR(__xludf.DUMMYFUNCTION("""COMPUTED_VALUE"""),"treatment")</f>
        <v>treatment</v>
      </c>
      <c r="D3079" s="1" t="str">
        <f>IFERROR(__xludf.DUMMYFUNCTION("""COMPUTED_VALUE"""),"new_page")</f>
        <v>new_page</v>
      </c>
      <c r="E3079" s="1">
        <f>IFERROR(__xludf.DUMMYFUNCTION("""COMPUTED_VALUE"""),0.0)</f>
        <v>0</v>
      </c>
    </row>
    <row r="3080">
      <c r="A3080" s="1">
        <f>IFERROR(__xludf.DUMMYFUNCTION("""COMPUTED_VALUE"""),934105.0)</f>
        <v>934105</v>
      </c>
      <c r="B3080" s="2">
        <f>IFERROR(__xludf.DUMMYFUNCTION("""COMPUTED_VALUE"""),42753.11591615234)</f>
        <v>42753.11592</v>
      </c>
      <c r="C3080" s="1" t="str">
        <f>IFERROR(__xludf.DUMMYFUNCTION("""COMPUTED_VALUE"""),"treatment")</f>
        <v>treatment</v>
      </c>
      <c r="D3080" s="1" t="str">
        <f>IFERROR(__xludf.DUMMYFUNCTION("""COMPUTED_VALUE"""),"new_page")</f>
        <v>new_page</v>
      </c>
      <c r="E3080" s="1">
        <f>IFERROR(__xludf.DUMMYFUNCTION("""COMPUTED_VALUE"""),0.0)</f>
        <v>0</v>
      </c>
    </row>
    <row r="3081">
      <c r="A3081" s="1">
        <f>IFERROR(__xludf.DUMMYFUNCTION("""COMPUTED_VALUE"""),917590.0)</f>
        <v>917590</v>
      </c>
      <c r="B3081" s="2">
        <f>IFERROR(__xludf.DUMMYFUNCTION("""COMPUTED_VALUE"""),42747.68701840537)</f>
        <v>42747.68702</v>
      </c>
      <c r="C3081" s="1" t="str">
        <f>IFERROR(__xludf.DUMMYFUNCTION("""COMPUTED_VALUE"""),"control")</f>
        <v>control</v>
      </c>
      <c r="D3081" s="1" t="str">
        <f>IFERROR(__xludf.DUMMYFUNCTION("""COMPUTED_VALUE"""),"old_page")</f>
        <v>old_page</v>
      </c>
      <c r="E3081" s="1">
        <f>IFERROR(__xludf.DUMMYFUNCTION("""COMPUTED_VALUE"""),0.0)</f>
        <v>0</v>
      </c>
    </row>
    <row r="3082">
      <c r="A3082" s="1">
        <f>IFERROR(__xludf.DUMMYFUNCTION("""COMPUTED_VALUE"""),917165.0)</f>
        <v>917165</v>
      </c>
      <c r="B3082" s="2">
        <f>IFERROR(__xludf.DUMMYFUNCTION("""COMPUTED_VALUE"""),42758.264969368865)</f>
        <v>42758.26497</v>
      </c>
      <c r="C3082" s="1" t="str">
        <f>IFERROR(__xludf.DUMMYFUNCTION("""COMPUTED_VALUE"""),"treatment")</f>
        <v>treatment</v>
      </c>
      <c r="D3082" s="1" t="str">
        <f>IFERROR(__xludf.DUMMYFUNCTION("""COMPUTED_VALUE"""),"new_page")</f>
        <v>new_page</v>
      </c>
      <c r="E3082" s="1">
        <f>IFERROR(__xludf.DUMMYFUNCTION("""COMPUTED_VALUE"""),1.0)</f>
        <v>1</v>
      </c>
    </row>
    <row r="3083">
      <c r="A3083" s="1">
        <f>IFERROR(__xludf.DUMMYFUNCTION("""COMPUTED_VALUE"""),798781.0)</f>
        <v>798781</v>
      </c>
      <c r="B3083" s="2">
        <f>IFERROR(__xludf.DUMMYFUNCTION("""COMPUTED_VALUE"""),42751.15776949932)</f>
        <v>42751.15777</v>
      </c>
      <c r="C3083" s="1" t="str">
        <f>IFERROR(__xludf.DUMMYFUNCTION("""COMPUTED_VALUE"""),"treatment")</f>
        <v>treatment</v>
      </c>
      <c r="D3083" s="1" t="str">
        <f>IFERROR(__xludf.DUMMYFUNCTION("""COMPUTED_VALUE"""),"new_page")</f>
        <v>new_page</v>
      </c>
      <c r="E3083" s="1">
        <f>IFERROR(__xludf.DUMMYFUNCTION("""COMPUTED_VALUE"""),0.0)</f>
        <v>0</v>
      </c>
    </row>
    <row r="3084">
      <c r="A3084" s="1">
        <f>IFERROR(__xludf.DUMMYFUNCTION("""COMPUTED_VALUE"""),874221.0)</f>
        <v>874221</v>
      </c>
      <c r="B3084" s="2">
        <f>IFERROR(__xludf.DUMMYFUNCTION("""COMPUTED_VALUE"""),42738.99452728238)</f>
        <v>42738.99453</v>
      </c>
      <c r="C3084" s="1" t="str">
        <f>IFERROR(__xludf.DUMMYFUNCTION("""COMPUTED_VALUE"""),"treatment")</f>
        <v>treatment</v>
      </c>
      <c r="D3084" s="1" t="str">
        <f>IFERROR(__xludf.DUMMYFUNCTION("""COMPUTED_VALUE"""),"new_page")</f>
        <v>new_page</v>
      </c>
      <c r="E3084" s="1">
        <f>IFERROR(__xludf.DUMMYFUNCTION("""COMPUTED_VALUE"""),0.0)</f>
        <v>0</v>
      </c>
    </row>
    <row r="3085">
      <c r="A3085" s="1">
        <f>IFERROR(__xludf.DUMMYFUNCTION("""COMPUTED_VALUE"""),869283.0)</f>
        <v>869283</v>
      </c>
      <c r="B3085" s="2">
        <f>IFERROR(__xludf.DUMMYFUNCTION("""COMPUTED_VALUE"""),42754.66166672204)</f>
        <v>42754.66167</v>
      </c>
      <c r="C3085" s="1" t="str">
        <f>IFERROR(__xludf.DUMMYFUNCTION("""COMPUTED_VALUE"""),"control")</f>
        <v>control</v>
      </c>
      <c r="D3085" s="1" t="str">
        <f>IFERROR(__xludf.DUMMYFUNCTION("""COMPUTED_VALUE"""),"old_page")</f>
        <v>old_page</v>
      </c>
      <c r="E3085" s="1">
        <f>IFERROR(__xludf.DUMMYFUNCTION("""COMPUTED_VALUE"""),0.0)</f>
        <v>0</v>
      </c>
    </row>
    <row r="3086">
      <c r="A3086" s="1">
        <f>IFERROR(__xludf.DUMMYFUNCTION("""COMPUTED_VALUE"""),812876.0)</f>
        <v>812876</v>
      </c>
      <c r="B3086" s="2">
        <f>IFERROR(__xludf.DUMMYFUNCTION("""COMPUTED_VALUE"""),42740.4948483065)</f>
        <v>42740.49485</v>
      </c>
      <c r="C3086" s="1" t="str">
        <f>IFERROR(__xludf.DUMMYFUNCTION("""COMPUTED_VALUE"""),"treatment")</f>
        <v>treatment</v>
      </c>
      <c r="D3086" s="1" t="str">
        <f>IFERROR(__xludf.DUMMYFUNCTION("""COMPUTED_VALUE"""),"new_page")</f>
        <v>new_page</v>
      </c>
      <c r="E3086" s="1">
        <f>IFERROR(__xludf.DUMMYFUNCTION("""COMPUTED_VALUE"""),0.0)</f>
        <v>0</v>
      </c>
    </row>
    <row r="3087">
      <c r="A3087" s="1">
        <f>IFERROR(__xludf.DUMMYFUNCTION("""COMPUTED_VALUE"""),714677.0)</f>
        <v>714677</v>
      </c>
      <c r="B3087" s="2">
        <f>IFERROR(__xludf.DUMMYFUNCTION("""COMPUTED_VALUE"""),42739.934071940464)</f>
        <v>42739.93407</v>
      </c>
      <c r="C3087" s="1" t="str">
        <f>IFERROR(__xludf.DUMMYFUNCTION("""COMPUTED_VALUE"""),"control")</f>
        <v>control</v>
      </c>
      <c r="D3087" s="1" t="str">
        <f>IFERROR(__xludf.DUMMYFUNCTION("""COMPUTED_VALUE"""),"old_page")</f>
        <v>old_page</v>
      </c>
      <c r="E3087" s="1">
        <f>IFERROR(__xludf.DUMMYFUNCTION("""COMPUTED_VALUE"""),0.0)</f>
        <v>0</v>
      </c>
    </row>
    <row r="3088">
      <c r="A3088" s="1">
        <f>IFERROR(__xludf.DUMMYFUNCTION("""COMPUTED_VALUE"""),929763.0)</f>
        <v>929763</v>
      </c>
      <c r="B3088" s="2">
        <f>IFERROR(__xludf.DUMMYFUNCTION("""COMPUTED_VALUE"""),42743.21052856914)</f>
        <v>42743.21053</v>
      </c>
      <c r="C3088" s="1" t="str">
        <f>IFERROR(__xludf.DUMMYFUNCTION("""COMPUTED_VALUE"""),"treatment")</f>
        <v>treatment</v>
      </c>
      <c r="D3088" s="1" t="str">
        <f>IFERROR(__xludf.DUMMYFUNCTION("""COMPUTED_VALUE"""),"new_page")</f>
        <v>new_page</v>
      </c>
      <c r="E3088" s="1">
        <f>IFERROR(__xludf.DUMMYFUNCTION("""COMPUTED_VALUE"""),0.0)</f>
        <v>0</v>
      </c>
    </row>
    <row r="3089">
      <c r="A3089" s="1">
        <f>IFERROR(__xludf.DUMMYFUNCTION("""COMPUTED_VALUE"""),729064.0)</f>
        <v>729064</v>
      </c>
      <c r="B3089" s="2">
        <f>IFERROR(__xludf.DUMMYFUNCTION("""COMPUTED_VALUE"""),42749.28789727268)</f>
        <v>42749.2879</v>
      </c>
      <c r="C3089" s="1" t="str">
        <f>IFERROR(__xludf.DUMMYFUNCTION("""COMPUTED_VALUE"""),"control")</f>
        <v>control</v>
      </c>
      <c r="D3089" s="1" t="str">
        <f>IFERROR(__xludf.DUMMYFUNCTION("""COMPUTED_VALUE"""),"old_page")</f>
        <v>old_page</v>
      </c>
      <c r="E3089" s="1">
        <f>IFERROR(__xludf.DUMMYFUNCTION("""COMPUTED_VALUE"""),0.0)</f>
        <v>0</v>
      </c>
    </row>
    <row r="3090">
      <c r="A3090" s="1">
        <f>IFERROR(__xludf.DUMMYFUNCTION("""COMPUTED_VALUE"""),698083.0)</f>
        <v>698083</v>
      </c>
      <c r="B3090" s="2">
        <f>IFERROR(__xludf.DUMMYFUNCTION("""COMPUTED_VALUE"""),42755.99509843361)</f>
        <v>42755.9951</v>
      </c>
      <c r="C3090" s="1" t="str">
        <f>IFERROR(__xludf.DUMMYFUNCTION("""COMPUTED_VALUE"""),"control")</f>
        <v>control</v>
      </c>
      <c r="D3090" s="1" t="str">
        <f>IFERROR(__xludf.DUMMYFUNCTION("""COMPUTED_VALUE"""),"old_page")</f>
        <v>old_page</v>
      </c>
      <c r="E3090" s="1">
        <f>IFERROR(__xludf.DUMMYFUNCTION("""COMPUTED_VALUE"""),0.0)</f>
        <v>0</v>
      </c>
    </row>
    <row r="3091">
      <c r="A3091" s="1">
        <f>IFERROR(__xludf.DUMMYFUNCTION("""COMPUTED_VALUE"""),800566.0)</f>
        <v>800566</v>
      </c>
      <c r="B3091" s="2">
        <f>IFERROR(__xludf.DUMMYFUNCTION("""COMPUTED_VALUE"""),42756.7494742017)</f>
        <v>42756.74947</v>
      </c>
      <c r="C3091" s="1" t="str">
        <f>IFERROR(__xludf.DUMMYFUNCTION("""COMPUTED_VALUE"""),"treatment")</f>
        <v>treatment</v>
      </c>
      <c r="D3091" s="1" t="str">
        <f>IFERROR(__xludf.DUMMYFUNCTION("""COMPUTED_VALUE"""),"new_page")</f>
        <v>new_page</v>
      </c>
      <c r="E3091" s="1">
        <f>IFERROR(__xludf.DUMMYFUNCTION("""COMPUTED_VALUE"""),0.0)</f>
        <v>0</v>
      </c>
    </row>
    <row r="3092">
      <c r="A3092" s="1">
        <f>IFERROR(__xludf.DUMMYFUNCTION("""COMPUTED_VALUE"""),667995.0)</f>
        <v>667995</v>
      </c>
      <c r="B3092" s="2">
        <f>IFERROR(__xludf.DUMMYFUNCTION("""COMPUTED_VALUE"""),42758.769663642604)</f>
        <v>42758.76966</v>
      </c>
      <c r="C3092" s="1" t="str">
        <f>IFERROR(__xludf.DUMMYFUNCTION("""COMPUTED_VALUE"""),"control")</f>
        <v>control</v>
      </c>
      <c r="D3092" s="1" t="str">
        <f>IFERROR(__xludf.DUMMYFUNCTION("""COMPUTED_VALUE"""),"old_page")</f>
        <v>old_page</v>
      </c>
      <c r="E3092" s="1">
        <f>IFERROR(__xludf.DUMMYFUNCTION("""COMPUTED_VALUE"""),0.0)</f>
        <v>0</v>
      </c>
    </row>
    <row r="3093">
      <c r="A3093" s="1">
        <f>IFERROR(__xludf.DUMMYFUNCTION("""COMPUTED_VALUE"""),846408.0)</f>
        <v>846408</v>
      </c>
      <c r="B3093" s="2">
        <f>IFERROR(__xludf.DUMMYFUNCTION("""COMPUTED_VALUE"""),42745.74734430479)</f>
        <v>42745.74734</v>
      </c>
      <c r="C3093" s="1" t="str">
        <f>IFERROR(__xludf.DUMMYFUNCTION("""COMPUTED_VALUE"""),"treatment")</f>
        <v>treatment</v>
      </c>
      <c r="D3093" s="1" t="str">
        <f>IFERROR(__xludf.DUMMYFUNCTION("""COMPUTED_VALUE"""),"new_page")</f>
        <v>new_page</v>
      </c>
      <c r="E3093" s="1">
        <f>IFERROR(__xludf.DUMMYFUNCTION("""COMPUTED_VALUE"""),0.0)</f>
        <v>0</v>
      </c>
    </row>
    <row r="3094">
      <c r="A3094" s="1">
        <f>IFERROR(__xludf.DUMMYFUNCTION("""COMPUTED_VALUE"""),631473.0)</f>
        <v>631473</v>
      </c>
      <c r="B3094" s="2">
        <f>IFERROR(__xludf.DUMMYFUNCTION("""COMPUTED_VALUE"""),42745.731761145325)</f>
        <v>42745.73176</v>
      </c>
      <c r="C3094" s="1" t="str">
        <f>IFERROR(__xludf.DUMMYFUNCTION("""COMPUTED_VALUE"""),"control")</f>
        <v>control</v>
      </c>
      <c r="D3094" s="1" t="str">
        <f>IFERROR(__xludf.DUMMYFUNCTION("""COMPUTED_VALUE"""),"old_page")</f>
        <v>old_page</v>
      </c>
      <c r="E3094" s="1">
        <f>IFERROR(__xludf.DUMMYFUNCTION("""COMPUTED_VALUE"""),0.0)</f>
        <v>0</v>
      </c>
    </row>
    <row r="3095">
      <c r="A3095" s="1">
        <f>IFERROR(__xludf.DUMMYFUNCTION("""COMPUTED_VALUE"""),853608.0)</f>
        <v>853608</v>
      </c>
      <c r="B3095" s="2">
        <f>IFERROR(__xludf.DUMMYFUNCTION("""COMPUTED_VALUE"""),42753.392025800706)</f>
        <v>42753.39203</v>
      </c>
      <c r="C3095" s="1" t="str">
        <f>IFERROR(__xludf.DUMMYFUNCTION("""COMPUTED_VALUE"""),"treatment")</f>
        <v>treatment</v>
      </c>
      <c r="D3095" s="1" t="str">
        <f>IFERROR(__xludf.DUMMYFUNCTION("""COMPUTED_VALUE"""),"new_page")</f>
        <v>new_page</v>
      </c>
      <c r="E3095" s="1">
        <f>IFERROR(__xludf.DUMMYFUNCTION("""COMPUTED_VALUE"""),1.0)</f>
        <v>1</v>
      </c>
    </row>
    <row r="3096">
      <c r="A3096" s="1">
        <f>IFERROR(__xludf.DUMMYFUNCTION("""COMPUTED_VALUE"""),827585.0)</f>
        <v>827585</v>
      </c>
      <c r="B3096" s="2">
        <f>IFERROR(__xludf.DUMMYFUNCTION("""COMPUTED_VALUE"""),42739.84065394706)</f>
        <v>42739.84065</v>
      </c>
      <c r="C3096" s="1" t="str">
        <f>IFERROR(__xludf.DUMMYFUNCTION("""COMPUTED_VALUE"""),"control")</f>
        <v>control</v>
      </c>
      <c r="D3096" s="1" t="str">
        <f>IFERROR(__xludf.DUMMYFUNCTION("""COMPUTED_VALUE"""),"old_page")</f>
        <v>old_page</v>
      </c>
      <c r="E3096" s="1">
        <f>IFERROR(__xludf.DUMMYFUNCTION("""COMPUTED_VALUE"""),0.0)</f>
        <v>0</v>
      </c>
    </row>
    <row r="3097">
      <c r="A3097" s="1">
        <f>IFERROR(__xludf.DUMMYFUNCTION("""COMPUTED_VALUE"""),875494.0)</f>
        <v>875494</v>
      </c>
      <c r="B3097" s="2">
        <f>IFERROR(__xludf.DUMMYFUNCTION("""COMPUTED_VALUE"""),42756.79581401619)</f>
        <v>42756.79581</v>
      </c>
      <c r="C3097" s="1" t="str">
        <f>IFERROR(__xludf.DUMMYFUNCTION("""COMPUTED_VALUE"""),"treatment")</f>
        <v>treatment</v>
      </c>
      <c r="D3097" s="1" t="str">
        <f>IFERROR(__xludf.DUMMYFUNCTION("""COMPUTED_VALUE"""),"new_page")</f>
        <v>new_page</v>
      </c>
      <c r="E3097" s="1">
        <f>IFERROR(__xludf.DUMMYFUNCTION("""COMPUTED_VALUE"""),0.0)</f>
        <v>0</v>
      </c>
    </row>
    <row r="3098">
      <c r="A3098" s="1">
        <f>IFERROR(__xludf.DUMMYFUNCTION("""COMPUTED_VALUE"""),872134.0)</f>
        <v>872134</v>
      </c>
      <c r="B3098" s="2">
        <f>IFERROR(__xludf.DUMMYFUNCTION("""COMPUTED_VALUE"""),42751.48887841722)</f>
        <v>42751.48888</v>
      </c>
      <c r="C3098" s="1" t="str">
        <f>IFERROR(__xludf.DUMMYFUNCTION("""COMPUTED_VALUE"""),"control")</f>
        <v>control</v>
      </c>
      <c r="D3098" s="1" t="str">
        <f>IFERROR(__xludf.DUMMYFUNCTION("""COMPUTED_VALUE"""),"old_page")</f>
        <v>old_page</v>
      </c>
      <c r="E3098" s="1">
        <f>IFERROR(__xludf.DUMMYFUNCTION("""COMPUTED_VALUE"""),0.0)</f>
        <v>0</v>
      </c>
    </row>
    <row r="3099">
      <c r="A3099" s="1">
        <f>IFERROR(__xludf.DUMMYFUNCTION("""COMPUTED_VALUE"""),743518.0)</f>
        <v>743518</v>
      </c>
      <c r="B3099" s="2">
        <f>IFERROR(__xludf.DUMMYFUNCTION("""COMPUTED_VALUE"""),42737.81868736376)</f>
        <v>42737.81869</v>
      </c>
      <c r="C3099" s="1" t="str">
        <f>IFERROR(__xludf.DUMMYFUNCTION("""COMPUTED_VALUE"""),"control")</f>
        <v>control</v>
      </c>
      <c r="D3099" s="1" t="str">
        <f>IFERROR(__xludf.DUMMYFUNCTION("""COMPUTED_VALUE"""),"old_page")</f>
        <v>old_page</v>
      </c>
      <c r="E3099" s="1">
        <f>IFERROR(__xludf.DUMMYFUNCTION("""COMPUTED_VALUE"""),0.0)</f>
        <v>0</v>
      </c>
    </row>
    <row r="3100">
      <c r="A3100" s="1">
        <f>IFERROR(__xludf.DUMMYFUNCTION("""COMPUTED_VALUE"""),895786.0)</f>
        <v>895786</v>
      </c>
      <c r="B3100" s="2">
        <f>IFERROR(__xludf.DUMMYFUNCTION("""COMPUTED_VALUE"""),42752.875395302995)</f>
        <v>42752.8754</v>
      </c>
      <c r="C3100" s="1" t="str">
        <f>IFERROR(__xludf.DUMMYFUNCTION("""COMPUTED_VALUE"""),"treatment")</f>
        <v>treatment</v>
      </c>
      <c r="D3100" s="1" t="str">
        <f>IFERROR(__xludf.DUMMYFUNCTION("""COMPUTED_VALUE"""),"new_page")</f>
        <v>new_page</v>
      </c>
      <c r="E3100" s="1">
        <f>IFERROR(__xludf.DUMMYFUNCTION("""COMPUTED_VALUE"""),0.0)</f>
        <v>0</v>
      </c>
    </row>
    <row r="3101">
      <c r="A3101" s="1">
        <f>IFERROR(__xludf.DUMMYFUNCTION("""COMPUTED_VALUE"""),781525.0)</f>
        <v>781525</v>
      </c>
      <c r="B3101" s="2">
        <f>IFERROR(__xludf.DUMMYFUNCTION("""COMPUTED_VALUE"""),42742.46322740101)</f>
        <v>42742.46323</v>
      </c>
      <c r="C3101" s="1" t="str">
        <f>IFERROR(__xludf.DUMMYFUNCTION("""COMPUTED_VALUE"""),"control")</f>
        <v>control</v>
      </c>
      <c r="D3101" s="1" t="str">
        <f>IFERROR(__xludf.DUMMYFUNCTION("""COMPUTED_VALUE"""),"old_page")</f>
        <v>old_page</v>
      </c>
      <c r="E3101" s="1">
        <f>IFERROR(__xludf.DUMMYFUNCTION("""COMPUTED_VALUE"""),1.0)</f>
        <v>1</v>
      </c>
    </row>
    <row r="3102">
      <c r="A3102" s="1">
        <f>IFERROR(__xludf.DUMMYFUNCTION("""COMPUTED_VALUE"""),751031.0)</f>
        <v>751031</v>
      </c>
      <c r="B3102" s="2">
        <f>IFERROR(__xludf.DUMMYFUNCTION("""COMPUTED_VALUE"""),42752.07764853728)</f>
        <v>42752.07765</v>
      </c>
      <c r="C3102" s="1" t="str">
        <f>IFERROR(__xludf.DUMMYFUNCTION("""COMPUTED_VALUE"""),"treatment")</f>
        <v>treatment</v>
      </c>
      <c r="D3102" s="1" t="str">
        <f>IFERROR(__xludf.DUMMYFUNCTION("""COMPUTED_VALUE"""),"new_page")</f>
        <v>new_page</v>
      </c>
      <c r="E3102" s="1">
        <f>IFERROR(__xludf.DUMMYFUNCTION("""COMPUTED_VALUE"""),1.0)</f>
        <v>1</v>
      </c>
    </row>
    <row r="3103">
      <c r="A3103" s="1">
        <f>IFERROR(__xludf.DUMMYFUNCTION("""COMPUTED_VALUE"""),728300.0)</f>
        <v>728300</v>
      </c>
      <c r="B3103" s="2">
        <f>IFERROR(__xludf.DUMMYFUNCTION("""COMPUTED_VALUE"""),42740.082318749366)</f>
        <v>42740.08232</v>
      </c>
      <c r="C3103" s="1" t="str">
        <f>IFERROR(__xludf.DUMMYFUNCTION("""COMPUTED_VALUE"""),"control")</f>
        <v>control</v>
      </c>
      <c r="D3103" s="1" t="str">
        <f>IFERROR(__xludf.DUMMYFUNCTION("""COMPUTED_VALUE"""),"old_page")</f>
        <v>old_page</v>
      </c>
      <c r="E3103" s="1">
        <f>IFERROR(__xludf.DUMMYFUNCTION("""COMPUTED_VALUE"""),0.0)</f>
        <v>0</v>
      </c>
    </row>
    <row r="3104">
      <c r="A3104" s="1">
        <f>IFERROR(__xludf.DUMMYFUNCTION("""COMPUTED_VALUE"""),850888.0)</f>
        <v>850888</v>
      </c>
      <c r="B3104" s="2">
        <f>IFERROR(__xludf.DUMMYFUNCTION("""COMPUTED_VALUE"""),42744.48777903704)</f>
        <v>42744.48778</v>
      </c>
      <c r="C3104" s="1" t="str">
        <f>IFERROR(__xludf.DUMMYFUNCTION("""COMPUTED_VALUE"""),"treatment")</f>
        <v>treatment</v>
      </c>
      <c r="D3104" s="1" t="str">
        <f>IFERROR(__xludf.DUMMYFUNCTION("""COMPUTED_VALUE"""),"new_page")</f>
        <v>new_page</v>
      </c>
      <c r="E3104" s="1">
        <f>IFERROR(__xludf.DUMMYFUNCTION("""COMPUTED_VALUE"""),1.0)</f>
        <v>1</v>
      </c>
    </row>
    <row r="3105">
      <c r="A3105" s="1">
        <f>IFERROR(__xludf.DUMMYFUNCTION("""COMPUTED_VALUE"""),776108.0)</f>
        <v>776108</v>
      </c>
      <c r="B3105" s="2">
        <f>IFERROR(__xludf.DUMMYFUNCTION("""COMPUTED_VALUE"""),42759.258950452895)</f>
        <v>42759.25895</v>
      </c>
      <c r="C3105" s="1" t="str">
        <f>IFERROR(__xludf.DUMMYFUNCTION("""COMPUTED_VALUE"""),"control")</f>
        <v>control</v>
      </c>
      <c r="D3105" s="1" t="str">
        <f>IFERROR(__xludf.DUMMYFUNCTION("""COMPUTED_VALUE"""),"old_page")</f>
        <v>old_page</v>
      </c>
      <c r="E3105" s="1">
        <f>IFERROR(__xludf.DUMMYFUNCTION("""COMPUTED_VALUE"""),0.0)</f>
        <v>0</v>
      </c>
    </row>
    <row r="3106">
      <c r="A3106" s="1">
        <f>IFERROR(__xludf.DUMMYFUNCTION("""COMPUTED_VALUE"""),692753.0)</f>
        <v>692753</v>
      </c>
      <c r="B3106" s="2">
        <f>IFERROR(__xludf.DUMMYFUNCTION("""COMPUTED_VALUE"""),42738.207154441596)</f>
        <v>42738.20715</v>
      </c>
      <c r="C3106" s="1" t="str">
        <f>IFERROR(__xludf.DUMMYFUNCTION("""COMPUTED_VALUE"""),"treatment")</f>
        <v>treatment</v>
      </c>
      <c r="D3106" s="1" t="str">
        <f>IFERROR(__xludf.DUMMYFUNCTION("""COMPUTED_VALUE"""),"new_page")</f>
        <v>new_page</v>
      </c>
      <c r="E3106" s="1">
        <f>IFERROR(__xludf.DUMMYFUNCTION("""COMPUTED_VALUE"""),0.0)</f>
        <v>0</v>
      </c>
    </row>
    <row r="3107">
      <c r="A3107" s="1">
        <f>IFERROR(__xludf.DUMMYFUNCTION("""COMPUTED_VALUE"""),840502.0)</f>
        <v>840502</v>
      </c>
      <c r="B3107" s="2">
        <f>IFERROR(__xludf.DUMMYFUNCTION("""COMPUTED_VALUE"""),42739.913567248936)</f>
        <v>42739.91357</v>
      </c>
      <c r="C3107" s="1" t="str">
        <f>IFERROR(__xludf.DUMMYFUNCTION("""COMPUTED_VALUE"""),"treatment")</f>
        <v>treatment</v>
      </c>
      <c r="D3107" s="1" t="str">
        <f>IFERROR(__xludf.DUMMYFUNCTION("""COMPUTED_VALUE"""),"new_page")</f>
        <v>new_page</v>
      </c>
      <c r="E3107" s="1">
        <f>IFERROR(__xludf.DUMMYFUNCTION("""COMPUTED_VALUE"""),0.0)</f>
        <v>0</v>
      </c>
    </row>
    <row r="3108">
      <c r="A3108" s="1">
        <f>IFERROR(__xludf.DUMMYFUNCTION("""COMPUTED_VALUE"""),761913.0)</f>
        <v>761913</v>
      </c>
      <c r="B3108" s="2">
        <f>IFERROR(__xludf.DUMMYFUNCTION("""COMPUTED_VALUE"""),42752.046853073996)</f>
        <v>42752.04685</v>
      </c>
      <c r="C3108" s="1" t="str">
        <f>IFERROR(__xludf.DUMMYFUNCTION("""COMPUTED_VALUE"""),"control")</f>
        <v>control</v>
      </c>
      <c r="D3108" s="1" t="str">
        <f>IFERROR(__xludf.DUMMYFUNCTION("""COMPUTED_VALUE"""),"old_page")</f>
        <v>old_page</v>
      </c>
      <c r="E3108" s="1">
        <f>IFERROR(__xludf.DUMMYFUNCTION("""COMPUTED_VALUE"""),0.0)</f>
        <v>0</v>
      </c>
    </row>
    <row r="3109">
      <c r="A3109" s="1">
        <f>IFERROR(__xludf.DUMMYFUNCTION("""COMPUTED_VALUE"""),906060.0)</f>
        <v>906060</v>
      </c>
      <c r="B3109" s="2">
        <f>IFERROR(__xludf.DUMMYFUNCTION("""COMPUTED_VALUE"""),42745.50540815484)</f>
        <v>42745.50541</v>
      </c>
      <c r="C3109" s="1" t="str">
        <f>IFERROR(__xludf.DUMMYFUNCTION("""COMPUTED_VALUE"""),"treatment")</f>
        <v>treatment</v>
      </c>
      <c r="D3109" s="1" t="str">
        <f>IFERROR(__xludf.DUMMYFUNCTION("""COMPUTED_VALUE"""),"new_page")</f>
        <v>new_page</v>
      </c>
      <c r="E3109" s="1">
        <f>IFERROR(__xludf.DUMMYFUNCTION("""COMPUTED_VALUE"""),0.0)</f>
        <v>0</v>
      </c>
    </row>
    <row r="3110">
      <c r="A3110" s="1">
        <f>IFERROR(__xludf.DUMMYFUNCTION("""COMPUTED_VALUE"""),707223.0)</f>
        <v>707223</v>
      </c>
      <c r="B3110" s="2">
        <f>IFERROR(__xludf.DUMMYFUNCTION("""COMPUTED_VALUE"""),42745.067754523574)</f>
        <v>42745.06775</v>
      </c>
      <c r="C3110" s="1" t="str">
        <f>IFERROR(__xludf.DUMMYFUNCTION("""COMPUTED_VALUE"""),"control")</f>
        <v>control</v>
      </c>
      <c r="D3110" s="1" t="str">
        <f>IFERROR(__xludf.DUMMYFUNCTION("""COMPUTED_VALUE"""),"old_page")</f>
        <v>old_page</v>
      </c>
      <c r="E3110" s="1">
        <f>IFERROR(__xludf.DUMMYFUNCTION("""COMPUTED_VALUE"""),1.0)</f>
        <v>1</v>
      </c>
    </row>
    <row r="3111">
      <c r="A3111" s="1">
        <f>IFERROR(__xludf.DUMMYFUNCTION("""COMPUTED_VALUE"""),633378.0)</f>
        <v>633378</v>
      </c>
      <c r="B3111" s="2">
        <f>IFERROR(__xludf.DUMMYFUNCTION("""COMPUTED_VALUE"""),42748.37064830548)</f>
        <v>42748.37065</v>
      </c>
      <c r="C3111" s="1" t="str">
        <f>IFERROR(__xludf.DUMMYFUNCTION("""COMPUTED_VALUE"""),"control")</f>
        <v>control</v>
      </c>
      <c r="D3111" s="1" t="str">
        <f>IFERROR(__xludf.DUMMYFUNCTION("""COMPUTED_VALUE"""),"old_page")</f>
        <v>old_page</v>
      </c>
      <c r="E3111" s="1">
        <f>IFERROR(__xludf.DUMMYFUNCTION("""COMPUTED_VALUE"""),0.0)</f>
        <v>0</v>
      </c>
    </row>
    <row r="3112">
      <c r="A3112" s="1">
        <f>IFERROR(__xludf.DUMMYFUNCTION("""COMPUTED_VALUE"""),839784.0)</f>
        <v>839784</v>
      </c>
      <c r="B3112" s="2">
        <f>IFERROR(__xludf.DUMMYFUNCTION("""COMPUTED_VALUE"""),42752.75571083883)</f>
        <v>42752.75571</v>
      </c>
      <c r="C3112" s="1" t="str">
        <f>IFERROR(__xludf.DUMMYFUNCTION("""COMPUTED_VALUE"""),"treatment")</f>
        <v>treatment</v>
      </c>
      <c r="D3112" s="1" t="str">
        <f>IFERROR(__xludf.DUMMYFUNCTION("""COMPUTED_VALUE"""),"new_page")</f>
        <v>new_page</v>
      </c>
      <c r="E3112" s="1">
        <f>IFERROR(__xludf.DUMMYFUNCTION("""COMPUTED_VALUE"""),0.0)</f>
        <v>0</v>
      </c>
    </row>
    <row r="3113">
      <c r="A3113" s="1">
        <f>IFERROR(__xludf.DUMMYFUNCTION("""COMPUTED_VALUE"""),804788.0)</f>
        <v>804788</v>
      </c>
      <c r="B3113" s="2">
        <f>IFERROR(__xludf.DUMMYFUNCTION("""COMPUTED_VALUE"""),42740.131051198914)</f>
        <v>42740.13105</v>
      </c>
      <c r="C3113" s="1" t="str">
        <f>IFERROR(__xludf.DUMMYFUNCTION("""COMPUTED_VALUE"""),"treatment")</f>
        <v>treatment</v>
      </c>
      <c r="D3113" s="1" t="str">
        <f>IFERROR(__xludf.DUMMYFUNCTION("""COMPUTED_VALUE"""),"new_page")</f>
        <v>new_page</v>
      </c>
      <c r="E3113" s="1">
        <f>IFERROR(__xludf.DUMMYFUNCTION("""COMPUTED_VALUE"""),0.0)</f>
        <v>0</v>
      </c>
    </row>
    <row r="3114">
      <c r="A3114" s="1">
        <f>IFERROR(__xludf.DUMMYFUNCTION("""COMPUTED_VALUE"""),646065.0)</f>
        <v>646065</v>
      </c>
      <c r="B3114" s="2">
        <f>IFERROR(__xludf.DUMMYFUNCTION("""COMPUTED_VALUE"""),42749.30721759739)</f>
        <v>42749.30722</v>
      </c>
      <c r="C3114" s="1" t="str">
        <f>IFERROR(__xludf.DUMMYFUNCTION("""COMPUTED_VALUE"""),"treatment")</f>
        <v>treatment</v>
      </c>
      <c r="D3114" s="1" t="str">
        <f>IFERROR(__xludf.DUMMYFUNCTION("""COMPUTED_VALUE"""),"new_page")</f>
        <v>new_page</v>
      </c>
      <c r="E3114" s="1">
        <f>IFERROR(__xludf.DUMMYFUNCTION("""COMPUTED_VALUE"""),1.0)</f>
        <v>1</v>
      </c>
    </row>
    <row r="3115">
      <c r="A3115" s="1">
        <f>IFERROR(__xludf.DUMMYFUNCTION("""COMPUTED_VALUE"""),844651.0)</f>
        <v>844651</v>
      </c>
      <c r="B3115" s="2">
        <f>IFERROR(__xludf.DUMMYFUNCTION("""COMPUTED_VALUE"""),42758.62786450978)</f>
        <v>42758.62786</v>
      </c>
      <c r="C3115" s="1" t="str">
        <f>IFERROR(__xludf.DUMMYFUNCTION("""COMPUTED_VALUE"""),"control")</f>
        <v>control</v>
      </c>
      <c r="D3115" s="1" t="str">
        <f>IFERROR(__xludf.DUMMYFUNCTION("""COMPUTED_VALUE"""),"old_page")</f>
        <v>old_page</v>
      </c>
      <c r="E3115" s="1">
        <f>IFERROR(__xludf.DUMMYFUNCTION("""COMPUTED_VALUE"""),0.0)</f>
        <v>0</v>
      </c>
    </row>
    <row r="3116">
      <c r="A3116" s="1">
        <f>IFERROR(__xludf.DUMMYFUNCTION("""COMPUTED_VALUE"""),872142.0)</f>
        <v>872142</v>
      </c>
      <c r="B3116" s="2">
        <f>IFERROR(__xludf.DUMMYFUNCTION("""COMPUTED_VALUE"""),42740.97445694366)</f>
        <v>42740.97446</v>
      </c>
      <c r="C3116" s="1" t="str">
        <f>IFERROR(__xludf.DUMMYFUNCTION("""COMPUTED_VALUE"""),"control")</f>
        <v>control</v>
      </c>
      <c r="D3116" s="1" t="str">
        <f>IFERROR(__xludf.DUMMYFUNCTION("""COMPUTED_VALUE"""),"old_page")</f>
        <v>old_page</v>
      </c>
      <c r="E3116" s="1">
        <f>IFERROR(__xludf.DUMMYFUNCTION("""COMPUTED_VALUE"""),0.0)</f>
        <v>0</v>
      </c>
    </row>
    <row r="3117">
      <c r="A3117" s="1">
        <f>IFERROR(__xludf.DUMMYFUNCTION("""COMPUTED_VALUE"""),721635.0)</f>
        <v>721635</v>
      </c>
      <c r="B3117" s="2">
        <f>IFERROR(__xludf.DUMMYFUNCTION("""COMPUTED_VALUE"""),42751.017415603405)</f>
        <v>42751.01742</v>
      </c>
      <c r="C3117" s="1" t="str">
        <f>IFERROR(__xludf.DUMMYFUNCTION("""COMPUTED_VALUE"""),"treatment")</f>
        <v>treatment</v>
      </c>
      <c r="D3117" s="1" t="str">
        <f>IFERROR(__xludf.DUMMYFUNCTION("""COMPUTED_VALUE"""),"new_page")</f>
        <v>new_page</v>
      </c>
      <c r="E3117" s="1">
        <f>IFERROR(__xludf.DUMMYFUNCTION("""COMPUTED_VALUE"""),0.0)</f>
        <v>0</v>
      </c>
    </row>
    <row r="3118">
      <c r="A3118" s="1">
        <f>IFERROR(__xludf.DUMMYFUNCTION("""COMPUTED_VALUE"""),871559.0)</f>
        <v>871559</v>
      </c>
      <c r="B3118" s="2">
        <f>IFERROR(__xludf.DUMMYFUNCTION("""COMPUTED_VALUE"""),42755.76609069977)</f>
        <v>42755.76609</v>
      </c>
      <c r="C3118" s="1" t="str">
        <f>IFERROR(__xludf.DUMMYFUNCTION("""COMPUTED_VALUE"""),"treatment")</f>
        <v>treatment</v>
      </c>
      <c r="D3118" s="1" t="str">
        <f>IFERROR(__xludf.DUMMYFUNCTION("""COMPUTED_VALUE"""),"new_page")</f>
        <v>new_page</v>
      </c>
      <c r="E3118" s="1">
        <f>IFERROR(__xludf.DUMMYFUNCTION("""COMPUTED_VALUE"""),0.0)</f>
        <v>0</v>
      </c>
    </row>
    <row r="3119">
      <c r="A3119" s="1">
        <f>IFERROR(__xludf.DUMMYFUNCTION("""COMPUTED_VALUE"""),765704.0)</f>
        <v>765704</v>
      </c>
      <c r="B3119" s="2">
        <f>IFERROR(__xludf.DUMMYFUNCTION("""COMPUTED_VALUE"""),42740.50465786308)</f>
        <v>42740.50466</v>
      </c>
      <c r="C3119" s="1" t="str">
        <f>IFERROR(__xludf.DUMMYFUNCTION("""COMPUTED_VALUE"""),"treatment")</f>
        <v>treatment</v>
      </c>
      <c r="D3119" s="1" t="str">
        <f>IFERROR(__xludf.DUMMYFUNCTION("""COMPUTED_VALUE"""),"new_page")</f>
        <v>new_page</v>
      </c>
      <c r="E3119" s="1">
        <f>IFERROR(__xludf.DUMMYFUNCTION("""COMPUTED_VALUE"""),1.0)</f>
        <v>1</v>
      </c>
    </row>
    <row r="3120">
      <c r="A3120" s="1">
        <f>IFERROR(__xludf.DUMMYFUNCTION("""COMPUTED_VALUE"""),931545.0)</f>
        <v>931545</v>
      </c>
      <c r="B3120" s="2">
        <f>IFERROR(__xludf.DUMMYFUNCTION("""COMPUTED_VALUE"""),42741.56177270146)</f>
        <v>42741.56177</v>
      </c>
      <c r="C3120" s="1" t="str">
        <f>IFERROR(__xludf.DUMMYFUNCTION("""COMPUTED_VALUE"""),"control")</f>
        <v>control</v>
      </c>
      <c r="D3120" s="1" t="str">
        <f>IFERROR(__xludf.DUMMYFUNCTION("""COMPUTED_VALUE"""),"old_page")</f>
        <v>old_page</v>
      </c>
      <c r="E3120" s="1">
        <f>IFERROR(__xludf.DUMMYFUNCTION("""COMPUTED_VALUE"""),0.0)</f>
        <v>0</v>
      </c>
    </row>
    <row r="3121">
      <c r="A3121" s="1">
        <f>IFERROR(__xludf.DUMMYFUNCTION("""COMPUTED_VALUE"""),908394.0)</f>
        <v>908394</v>
      </c>
      <c r="B3121" s="2">
        <f>IFERROR(__xludf.DUMMYFUNCTION("""COMPUTED_VALUE"""),42758.445484671676)</f>
        <v>42758.44548</v>
      </c>
      <c r="C3121" s="1" t="str">
        <f>IFERROR(__xludf.DUMMYFUNCTION("""COMPUTED_VALUE"""),"control")</f>
        <v>control</v>
      </c>
      <c r="D3121" s="1" t="str">
        <f>IFERROR(__xludf.DUMMYFUNCTION("""COMPUTED_VALUE"""),"old_page")</f>
        <v>old_page</v>
      </c>
      <c r="E3121" s="1">
        <f>IFERROR(__xludf.DUMMYFUNCTION("""COMPUTED_VALUE"""),0.0)</f>
        <v>0</v>
      </c>
    </row>
    <row r="3122">
      <c r="A3122" s="1">
        <f>IFERROR(__xludf.DUMMYFUNCTION("""COMPUTED_VALUE"""),660084.0)</f>
        <v>660084</v>
      </c>
      <c r="B3122" s="2">
        <f>IFERROR(__xludf.DUMMYFUNCTION("""COMPUTED_VALUE"""),42749.81843718947)</f>
        <v>42749.81844</v>
      </c>
      <c r="C3122" s="1" t="str">
        <f>IFERROR(__xludf.DUMMYFUNCTION("""COMPUTED_VALUE"""),"control")</f>
        <v>control</v>
      </c>
      <c r="D3122" s="1" t="str">
        <f>IFERROR(__xludf.DUMMYFUNCTION("""COMPUTED_VALUE"""),"old_page")</f>
        <v>old_page</v>
      </c>
      <c r="E3122" s="1">
        <f>IFERROR(__xludf.DUMMYFUNCTION("""COMPUTED_VALUE"""),0.0)</f>
        <v>0</v>
      </c>
    </row>
    <row r="3123">
      <c r="A3123" s="1">
        <f>IFERROR(__xludf.DUMMYFUNCTION("""COMPUTED_VALUE"""),630283.0)</f>
        <v>630283</v>
      </c>
      <c r="B3123" s="2">
        <f>IFERROR(__xludf.DUMMYFUNCTION("""COMPUTED_VALUE"""),42748.15230700735)</f>
        <v>42748.15231</v>
      </c>
      <c r="C3123" s="1" t="str">
        <f>IFERROR(__xludf.DUMMYFUNCTION("""COMPUTED_VALUE"""),"treatment")</f>
        <v>treatment</v>
      </c>
      <c r="D3123" s="1" t="str">
        <f>IFERROR(__xludf.DUMMYFUNCTION("""COMPUTED_VALUE"""),"new_page")</f>
        <v>new_page</v>
      </c>
      <c r="E3123" s="1">
        <f>IFERROR(__xludf.DUMMYFUNCTION("""COMPUTED_VALUE"""),0.0)</f>
        <v>0</v>
      </c>
    </row>
    <row r="3124">
      <c r="A3124" s="1">
        <f>IFERROR(__xludf.DUMMYFUNCTION("""COMPUTED_VALUE"""),915421.0)</f>
        <v>915421</v>
      </c>
      <c r="B3124" s="2">
        <f>IFERROR(__xludf.DUMMYFUNCTION("""COMPUTED_VALUE"""),42755.89989610438)</f>
        <v>42755.8999</v>
      </c>
      <c r="C3124" s="1" t="str">
        <f>IFERROR(__xludf.DUMMYFUNCTION("""COMPUTED_VALUE"""),"treatment")</f>
        <v>treatment</v>
      </c>
      <c r="D3124" s="1" t="str">
        <f>IFERROR(__xludf.DUMMYFUNCTION("""COMPUTED_VALUE"""),"new_page")</f>
        <v>new_page</v>
      </c>
      <c r="E3124" s="1">
        <f>IFERROR(__xludf.DUMMYFUNCTION("""COMPUTED_VALUE"""),0.0)</f>
        <v>0</v>
      </c>
    </row>
    <row r="3125">
      <c r="A3125" s="1">
        <f>IFERROR(__xludf.DUMMYFUNCTION("""COMPUTED_VALUE"""),831390.0)</f>
        <v>831390</v>
      </c>
      <c r="B3125" s="2">
        <f>IFERROR(__xludf.DUMMYFUNCTION("""COMPUTED_VALUE"""),42748.03654731716)</f>
        <v>42748.03655</v>
      </c>
      <c r="C3125" s="1" t="str">
        <f>IFERROR(__xludf.DUMMYFUNCTION("""COMPUTED_VALUE"""),"control")</f>
        <v>control</v>
      </c>
      <c r="D3125" s="1" t="str">
        <f>IFERROR(__xludf.DUMMYFUNCTION("""COMPUTED_VALUE"""),"old_page")</f>
        <v>old_page</v>
      </c>
      <c r="E3125" s="1">
        <f>IFERROR(__xludf.DUMMYFUNCTION("""COMPUTED_VALUE"""),0.0)</f>
        <v>0</v>
      </c>
    </row>
    <row r="3126">
      <c r="A3126" s="1">
        <f>IFERROR(__xludf.DUMMYFUNCTION("""COMPUTED_VALUE"""),727085.0)</f>
        <v>727085</v>
      </c>
      <c r="B3126" s="2">
        <f>IFERROR(__xludf.DUMMYFUNCTION("""COMPUTED_VALUE"""),42747.79970932787)</f>
        <v>42747.79971</v>
      </c>
      <c r="C3126" s="1" t="str">
        <f>IFERROR(__xludf.DUMMYFUNCTION("""COMPUTED_VALUE"""),"control")</f>
        <v>control</v>
      </c>
      <c r="D3126" s="1" t="str">
        <f>IFERROR(__xludf.DUMMYFUNCTION("""COMPUTED_VALUE"""),"old_page")</f>
        <v>old_page</v>
      </c>
      <c r="E3126" s="1">
        <f>IFERROR(__xludf.DUMMYFUNCTION("""COMPUTED_VALUE"""),0.0)</f>
        <v>0</v>
      </c>
    </row>
    <row r="3127">
      <c r="A3127" s="1">
        <f>IFERROR(__xludf.DUMMYFUNCTION("""COMPUTED_VALUE"""),769132.0)</f>
        <v>769132</v>
      </c>
      <c r="B3127" s="2">
        <f>IFERROR(__xludf.DUMMYFUNCTION("""COMPUTED_VALUE"""),42753.63069542344)</f>
        <v>42753.6307</v>
      </c>
      <c r="C3127" s="1" t="str">
        <f>IFERROR(__xludf.DUMMYFUNCTION("""COMPUTED_VALUE"""),"control")</f>
        <v>control</v>
      </c>
      <c r="D3127" s="1" t="str">
        <f>IFERROR(__xludf.DUMMYFUNCTION("""COMPUTED_VALUE"""),"old_page")</f>
        <v>old_page</v>
      </c>
      <c r="E3127" s="1">
        <f>IFERROR(__xludf.DUMMYFUNCTION("""COMPUTED_VALUE"""),0.0)</f>
        <v>0</v>
      </c>
    </row>
    <row r="3128">
      <c r="A3128" s="1">
        <f>IFERROR(__xludf.DUMMYFUNCTION("""COMPUTED_VALUE"""),642146.0)</f>
        <v>642146</v>
      </c>
      <c r="B3128" s="2">
        <f>IFERROR(__xludf.DUMMYFUNCTION("""COMPUTED_VALUE"""),42757.30782441763)</f>
        <v>42757.30782</v>
      </c>
      <c r="C3128" s="1" t="str">
        <f>IFERROR(__xludf.DUMMYFUNCTION("""COMPUTED_VALUE"""),"control")</f>
        <v>control</v>
      </c>
      <c r="D3128" s="1" t="str">
        <f>IFERROR(__xludf.DUMMYFUNCTION("""COMPUTED_VALUE"""),"old_page")</f>
        <v>old_page</v>
      </c>
      <c r="E3128" s="1">
        <f>IFERROR(__xludf.DUMMYFUNCTION("""COMPUTED_VALUE"""),1.0)</f>
        <v>1</v>
      </c>
    </row>
    <row r="3129">
      <c r="A3129" s="1">
        <f>IFERROR(__xludf.DUMMYFUNCTION("""COMPUTED_VALUE"""),912420.0)</f>
        <v>912420</v>
      </c>
      <c r="B3129" s="2">
        <f>IFERROR(__xludf.DUMMYFUNCTION("""COMPUTED_VALUE"""),42744.55392740169)</f>
        <v>42744.55393</v>
      </c>
      <c r="C3129" s="1" t="str">
        <f>IFERROR(__xludf.DUMMYFUNCTION("""COMPUTED_VALUE"""),"control")</f>
        <v>control</v>
      </c>
      <c r="D3129" s="1" t="str">
        <f>IFERROR(__xludf.DUMMYFUNCTION("""COMPUTED_VALUE"""),"old_page")</f>
        <v>old_page</v>
      </c>
      <c r="E3129" s="1">
        <f>IFERROR(__xludf.DUMMYFUNCTION("""COMPUTED_VALUE"""),0.0)</f>
        <v>0</v>
      </c>
    </row>
    <row r="3130">
      <c r="A3130" s="1">
        <f>IFERROR(__xludf.DUMMYFUNCTION("""COMPUTED_VALUE"""),758153.0)</f>
        <v>758153</v>
      </c>
      <c r="B3130" s="2">
        <f>IFERROR(__xludf.DUMMYFUNCTION("""COMPUTED_VALUE"""),42759.44461675096)</f>
        <v>42759.44462</v>
      </c>
      <c r="C3130" s="1" t="str">
        <f>IFERROR(__xludf.DUMMYFUNCTION("""COMPUTED_VALUE"""),"control")</f>
        <v>control</v>
      </c>
      <c r="D3130" s="1" t="str">
        <f>IFERROR(__xludf.DUMMYFUNCTION("""COMPUTED_VALUE"""),"old_page")</f>
        <v>old_page</v>
      </c>
      <c r="E3130" s="1">
        <f>IFERROR(__xludf.DUMMYFUNCTION("""COMPUTED_VALUE"""),0.0)</f>
        <v>0</v>
      </c>
    </row>
    <row r="3131">
      <c r="A3131" s="1">
        <f>IFERROR(__xludf.DUMMYFUNCTION("""COMPUTED_VALUE"""),814053.0)</f>
        <v>814053</v>
      </c>
      <c r="B3131" s="2">
        <f>IFERROR(__xludf.DUMMYFUNCTION("""COMPUTED_VALUE"""),42747.6289132155)</f>
        <v>42747.62891</v>
      </c>
      <c r="C3131" s="1" t="str">
        <f>IFERROR(__xludf.DUMMYFUNCTION("""COMPUTED_VALUE"""),"treatment")</f>
        <v>treatment</v>
      </c>
      <c r="D3131" s="1" t="str">
        <f>IFERROR(__xludf.DUMMYFUNCTION("""COMPUTED_VALUE"""),"new_page")</f>
        <v>new_page</v>
      </c>
      <c r="E3131" s="1">
        <f>IFERROR(__xludf.DUMMYFUNCTION("""COMPUTED_VALUE"""),0.0)</f>
        <v>0</v>
      </c>
    </row>
    <row r="3132">
      <c r="A3132" s="1">
        <f>IFERROR(__xludf.DUMMYFUNCTION("""COMPUTED_VALUE"""),904255.0)</f>
        <v>904255</v>
      </c>
      <c r="B3132" s="2">
        <f>IFERROR(__xludf.DUMMYFUNCTION("""COMPUTED_VALUE"""),42752.48081621191)</f>
        <v>42752.48082</v>
      </c>
      <c r="C3132" s="1" t="str">
        <f>IFERROR(__xludf.DUMMYFUNCTION("""COMPUTED_VALUE"""),"treatment")</f>
        <v>treatment</v>
      </c>
      <c r="D3132" s="1" t="str">
        <f>IFERROR(__xludf.DUMMYFUNCTION("""COMPUTED_VALUE"""),"new_page")</f>
        <v>new_page</v>
      </c>
      <c r="E3132" s="1">
        <f>IFERROR(__xludf.DUMMYFUNCTION("""COMPUTED_VALUE"""),0.0)</f>
        <v>0</v>
      </c>
    </row>
    <row r="3133">
      <c r="A3133" s="1">
        <f>IFERROR(__xludf.DUMMYFUNCTION("""COMPUTED_VALUE"""),927490.0)</f>
        <v>927490</v>
      </c>
      <c r="B3133" s="2">
        <f>IFERROR(__xludf.DUMMYFUNCTION("""COMPUTED_VALUE"""),42750.03015259664)</f>
        <v>42750.03015</v>
      </c>
      <c r="C3133" s="1" t="str">
        <f>IFERROR(__xludf.DUMMYFUNCTION("""COMPUTED_VALUE"""),"treatment")</f>
        <v>treatment</v>
      </c>
      <c r="D3133" s="1" t="str">
        <f>IFERROR(__xludf.DUMMYFUNCTION("""COMPUTED_VALUE"""),"new_page")</f>
        <v>new_page</v>
      </c>
      <c r="E3133" s="1">
        <f>IFERROR(__xludf.DUMMYFUNCTION("""COMPUTED_VALUE"""),0.0)</f>
        <v>0</v>
      </c>
    </row>
    <row r="3134">
      <c r="A3134" s="1">
        <f>IFERROR(__xludf.DUMMYFUNCTION("""COMPUTED_VALUE"""),842985.0)</f>
        <v>842985</v>
      </c>
      <c r="B3134" s="2">
        <f>IFERROR(__xludf.DUMMYFUNCTION("""COMPUTED_VALUE"""),42748.33248297454)</f>
        <v>42748.33248</v>
      </c>
      <c r="C3134" s="1" t="str">
        <f>IFERROR(__xludf.DUMMYFUNCTION("""COMPUTED_VALUE"""),"control")</f>
        <v>control</v>
      </c>
      <c r="D3134" s="1" t="str">
        <f>IFERROR(__xludf.DUMMYFUNCTION("""COMPUTED_VALUE"""),"old_page")</f>
        <v>old_page</v>
      </c>
      <c r="E3134" s="1">
        <f>IFERROR(__xludf.DUMMYFUNCTION("""COMPUTED_VALUE"""),0.0)</f>
        <v>0</v>
      </c>
    </row>
    <row r="3135">
      <c r="A3135" s="1">
        <f>IFERROR(__xludf.DUMMYFUNCTION("""COMPUTED_VALUE"""),682635.0)</f>
        <v>682635</v>
      </c>
      <c r="B3135" s="2">
        <f>IFERROR(__xludf.DUMMYFUNCTION("""COMPUTED_VALUE"""),42749.6857194806)</f>
        <v>42749.68572</v>
      </c>
      <c r="C3135" s="1" t="str">
        <f>IFERROR(__xludf.DUMMYFUNCTION("""COMPUTED_VALUE"""),"treatment")</f>
        <v>treatment</v>
      </c>
      <c r="D3135" s="1" t="str">
        <f>IFERROR(__xludf.DUMMYFUNCTION("""COMPUTED_VALUE"""),"new_page")</f>
        <v>new_page</v>
      </c>
      <c r="E3135" s="1">
        <f>IFERROR(__xludf.DUMMYFUNCTION("""COMPUTED_VALUE"""),0.0)</f>
        <v>0</v>
      </c>
    </row>
    <row r="3136">
      <c r="A3136" s="1">
        <f>IFERROR(__xludf.DUMMYFUNCTION("""COMPUTED_VALUE"""),661175.0)</f>
        <v>661175</v>
      </c>
      <c r="B3136" s="2">
        <f>IFERROR(__xludf.DUMMYFUNCTION("""COMPUTED_VALUE"""),42747.35341919032)</f>
        <v>42747.35342</v>
      </c>
      <c r="C3136" s="1" t="str">
        <f>IFERROR(__xludf.DUMMYFUNCTION("""COMPUTED_VALUE"""),"control")</f>
        <v>control</v>
      </c>
      <c r="D3136" s="1" t="str">
        <f>IFERROR(__xludf.DUMMYFUNCTION("""COMPUTED_VALUE"""),"old_page")</f>
        <v>old_page</v>
      </c>
      <c r="E3136" s="1">
        <f>IFERROR(__xludf.DUMMYFUNCTION("""COMPUTED_VALUE"""),0.0)</f>
        <v>0</v>
      </c>
    </row>
    <row r="3137">
      <c r="A3137" s="1">
        <f>IFERROR(__xludf.DUMMYFUNCTION("""COMPUTED_VALUE"""),674856.0)</f>
        <v>674856</v>
      </c>
      <c r="B3137" s="2">
        <f>IFERROR(__xludf.DUMMYFUNCTION("""COMPUTED_VALUE"""),42737.71865492231)</f>
        <v>42737.71865</v>
      </c>
      <c r="C3137" s="1" t="str">
        <f>IFERROR(__xludf.DUMMYFUNCTION("""COMPUTED_VALUE"""),"treatment")</f>
        <v>treatment</v>
      </c>
      <c r="D3137" s="1" t="str">
        <f>IFERROR(__xludf.DUMMYFUNCTION("""COMPUTED_VALUE"""),"new_page")</f>
        <v>new_page</v>
      </c>
      <c r="E3137" s="1">
        <f>IFERROR(__xludf.DUMMYFUNCTION("""COMPUTED_VALUE"""),0.0)</f>
        <v>0</v>
      </c>
    </row>
    <row r="3138">
      <c r="A3138" s="1">
        <f>IFERROR(__xludf.DUMMYFUNCTION("""COMPUTED_VALUE"""),707519.0)</f>
        <v>707519</v>
      </c>
      <c r="B3138" s="2">
        <f>IFERROR(__xludf.DUMMYFUNCTION("""COMPUTED_VALUE"""),42747.62648506664)</f>
        <v>42747.62649</v>
      </c>
      <c r="C3138" s="1" t="str">
        <f>IFERROR(__xludf.DUMMYFUNCTION("""COMPUTED_VALUE"""),"control")</f>
        <v>control</v>
      </c>
      <c r="D3138" s="1" t="str">
        <f>IFERROR(__xludf.DUMMYFUNCTION("""COMPUTED_VALUE"""),"old_page")</f>
        <v>old_page</v>
      </c>
      <c r="E3138" s="1">
        <f>IFERROR(__xludf.DUMMYFUNCTION("""COMPUTED_VALUE"""),0.0)</f>
        <v>0</v>
      </c>
    </row>
    <row r="3139">
      <c r="A3139" s="1">
        <f>IFERROR(__xludf.DUMMYFUNCTION("""COMPUTED_VALUE"""),945608.0)</f>
        <v>945608</v>
      </c>
      <c r="B3139" s="2">
        <f>IFERROR(__xludf.DUMMYFUNCTION("""COMPUTED_VALUE"""),42751.88312697105)</f>
        <v>42751.88313</v>
      </c>
      <c r="C3139" s="1" t="str">
        <f>IFERROR(__xludf.DUMMYFUNCTION("""COMPUTED_VALUE"""),"control")</f>
        <v>control</v>
      </c>
      <c r="D3139" s="1" t="str">
        <f>IFERROR(__xludf.DUMMYFUNCTION("""COMPUTED_VALUE"""),"old_page")</f>
        <v>old_page</v>
      </c>
      <c r="E3139" s="1">
        <f>IFERROR(__xludf.DUMMYFUNCTION("""COMPUTED_VALUE"""),0.0)</f>
        <v>0</v>
      </c>
    </row>
    <row r="3140">
      <c r="A3140" s="1">
        <f>IFERROR(__xludf.DUMMYFUNCTION("""COMPUTED_VALUE"""),889888.0)</f>
        <v>889888</v>
      </c>
      <c r="B3140" s="2">
        <f>IFERROR(__xludf.DUMMYFUNCTION("""COMPUTED_VALUE"""),42740.15355521147)</f>
        <v>42740.15356</v>
      </c>
      <c r="C3140" s="1" t="str">
        <f>IFERROR(__xludf.DUMMYFUNCTION("""COMPUTED_VALUE"""),"treatment")</f>
        <v>treatment</v>
      </c>
      <c r="D3140" s="1" t="str">
        <f>IFERROR(__xludf.DUMMYFUNCTION("""COMPUTED_VALUE"""),"new_page")</f>
        <v>new_page</v>
      </c>
      <c r="E3140" s="1">
        <f>IFERROR(__xludf.DUMMYFUNCTION("""COMPUTED_VALUE"""),1.0)</f>
        <v>1</v>
      </c>
    </row>
    <row r="3141">
      <c r="A3141" s="1">
        <f>IFERROR(__xludf.DUMMYFUNCTION("""COMPUTED_VALUE"""),868627.0)</f>
        <v>868627</v>
      </c>
      <c r="B3141" s="2">
        <f>IFERROR(__xludf.DUMMYFUNCTION("""COMPUTED_VALUE"""),42745.360230226295)</f>
        <v>42745.36023</v>
      </c>
      <c r="C3141" s="1" t="str">
        <f>IFERROR(__xludf.DUMMYFUNCTION("""COMPUTED_VALUE"""),"treatment")</f>
        <v>treatment</v>
      </c>
      <c r="D3141" s="1" t="str">
        <f>IFERROR(__xludf.DUMMYFUNCTION("""COMPUTED_VALUE"""),"new_page")</f>
        <v>new_page</v>
      </c>
      <c r="E3141" s="1">
        <f>IFERROR(__xludf.DUMMYFUNCTION("""COMPUTED_VALUE"""),0.0)</f>
        <v>0</v>
      </c>
    </row>
    <row r="3142">
      <c r="A3142" s="1">
        <f>IFERROR(__xludf.DUMMYFUNCTION("""COMPUTED_VALUE"""),758186.0)</f>
        <v>758186</v>
      </c>
      <c r="B3142" s="2">
        <f>IFERROR(__xludf.DUMMYFUNCTION("""COMPUTED_VALUE"""),42746.52779318619)</f>
        <v>42746.52779</v>
      </c>
      <c r="C3142" s="1" t="str">
        <f>IFERROR(__xludf.DUMMYFUNCTION("""COMPUTED_VALUE"""),"control")</f>
        <v>control</v>
      </c>
      <c r="D3142" s="1" t="str">
        <f>IFERROR(__xludf.DUMMYFUNCTION("""COMPUTED_VALUE"""),"old_page")</f>
        <v>old_page</v>
      </c>
      <c r="E3142" s="1">
        <f>IFERROR(__xludf.DUMMYFUNCTION("""COMPUTED_VALUE"""),0.0)</f>
        <v>0</v>
      </c>
    </row>
    <row r="3143">
      <c r="A3143" s="1">
        <f>IFERROR(__xludf.DUMMYFUNCTION("""COMPUTED_VALUE"""),840560.0)</f>
        <v>840560</v>
      </c>
      <c r="B3143" s="2">
        <f>IFERROR(__xludf.DUMMYFUNCTION("""COMPUTED_VALUE"""),42738.28525814507)</f>
        <v>42738.28526</v>
      </c>
      <c r="C3143" s="1" t="str">
        <f>IFERROR(__xludf.DUMMYFUNCTION("""COMPUTED_VALUE"""),"treatment")</f>
        <v>treatment</v>
      </c>
      <c r="D3143" s="1" t="str">
        <f>IFERROR(__xludf.DUMMYFUNCTION("""COMPUTED_VALUE"""),"new_page")</f>
        <v>new_page</v>
      </c>
      <c r="E3143" s="1">
        <f>IFERROR(__xludf.DUMMYFUNCTION("""COMPUTED_VALUE"""),0.0)</f>
        <v>0</v>
      </c>
    </row>
    <row r="3144">
      <c r="A3144" s="1">
        <f>IFERROR(__xludf.DUMMYFUNCTION("""COMPUTED_VALUE"""),790322.0)</f>
        <v>790322</v>
      </c>
      <c r="B3144" s="2">
        <f>IFERROR(__xludf.DUMMYFUNCTION("""COMPUTED_VALUE"""),42758.44785796689)</f>
        <v>42758.44786</v>
      </c>
      <c r="C3144" s="1" t="str">
        <f>IFERROR(__xludf.DUMMYFUNCTION("""COMPUTED_VALUE"""),"treatment")</f>
        <v>treatment</v>
      </c>
      <c r="D3144" s="1" t="str">
        <f>IFERROR(__xludf.DUMMYFUNCTION("""COMPUTED_VALUE"""),"new_page")</f>
        <v>new_page</v>
      </c>
      <c r="E3144" s="1">
        <f>IFERROR(__xludf.DUMMYFUNCTION("""COMPUTED_VALUE"""),0.0)</f>
        <v>0</v>
      </c>
    </row>
    <row r="3145">
      <c r="A3145" s="1">
        <f>IFERROR(__xludf.DUMMYFUNCTION("""COMPUTED_VALUE"""),697492.0)</f>
        <v>697492</v>
      </c>
      <c r="B3145" s="2">
        <f>IFERROR(__xludf.DUMMYFUNCTION("""COMPUTED_VALUE"""),42739.77204241875)</f>
        <v>42739.77204</v>
      </c>
      <c r="C3145" s="1" t="str">
        <f>IFERROR(__xludf.DUMMYFUNCTION("""COMPUTED_VALUE"""),"control")</f>
        <v>control</v>
      </c>
      <c r="D3145" s="1" t="str">
        <f>IFERROR(__xludf.DUMMYFUNCTION("""COMPUTED_VALUE"""),"old_page")</f>
        <v>old_page</v>
      </c>
      <c r="E3145" s="1">
        <f>IFERROR(__xludf.DUMMYFUNCTION("""COMPUTED_VALUE"""),0.0)</f>
        <v>0</v>
      </c>
    </row>
    <row r="3146">
      <c r="A3146" s="1">
        <f>IFERROR(__xludf.DUMMYFUNCTION("""COMPUTED_VALUE"""),728341.0)</f>
        <v>728341</v>
      </c>
      <c r="B3146" s="2">
        <f>IFERROR(__xludf.DUMMYFUNCTION("""COMPUTED_VALUE"""),42745.84449732923)</f>
        <v>42745.8445</v>
      </c>
      <c r="C3146" s="1" t="str">
        <f>IFERROR(__xludf.DUMMYFUNCTION("""COMPUTED_VALUE"""),"treatment")</f>
        <v>treatment</v>
      </c>
      <c r="D3146" s="1" t="str">
        <f>IFERROR(__xludf.DUMMYFUNCTION("""COMPUTED_VALUE"""),"new_page")</f>
        <v>new_page</v>
      </c>
      <c r="E3146" s="1">
        <f>IFERROR(__xludf.DUMMYFUNCTION("""COMPUTED_VALUE"""),0.0)</f>
        <v>0</v>
      </c>
    </row>
    <row r="3147">
      <c r="A3147" s="1">
        <f>IFERROR(__xludf.DUMMYFUNCTION("""COMPUTED_VALUE"""),837493.0)</f>
        <v>837493</v>
      </c>
      <c r="B3147" s="2">
        <f>IFERROR(__xludf.DUMMYFUNCTION("""COMPUTED_VALUE"""),42757.78714409861)</f>
        <v>42757.78714</v>
      </c>
      <c r="C3147" s="1" t="str">
        <f>IFERROR(__xludf.DUMMYFUNCTION("""COMPUTED_VALUE"""),"treatment")</f>
        <v>treatment</v>
      </c>
      <c r="D3147" s="1" t="str">
        <f>IFERROR(__xludf.DUMMYFUNCTION("""COMPUTED_VALUE"""),"new_page")</f>
        <v>new_page</v>
      </c>
      <c r="E3147" s="1">
        <f>IFERROR(__xludf.DUMMYFUNCTION("""COMPUTED_VALUE"""),1.0)</f>
        <v>1</v>
      </c>
    </row>
    <row r="3148">
      <c r="A3148" s="1">
        <f>IFERROR(__xludf.DUMMYFUNCTION("""COMPUTED_VALUE"""),796347.0)</f>
        <v>796347</v>
      </c>
      <c r="B3148" s="2">
        <f>IFERROR(__xludf.DUMMYFUNCTION("""COMPUTED_VALUE"""),42751.199099208774)</f>
        <v>42751.1991</v>
      </c>
      <c r="C3148" s="1" t="str">
        <f>IFERROR(__xludf.DUMMYFUNCTION("""COMPUTED_VALUE"""),"control")</f>
        <v>control</v>
      </c>
      <c r="D3148" s="1" t="str">
        <f>IFERROR(__xludf.DUMMYFUNCTION("""COMPUTED_VALUE"""),"old_page")</f>
        <v>old_page</v>
      </c>
      <c r="E3148" s="1">
        <f>IFERROR(__xludf.DUMMYFUNCTION("""COMPUTED_VALUE"""),0.0)</f>
        <v>0</v>
      </c>
    </row>
    <row r="3149">
      <c r="A3149" s="1">
        <f>IFERROR(__xludf.DUMMYFUNCTION("""COMPUTED_VALUE"""),747925.0)</f>
        <v>747925</v>
      </c>
      <c r="B3149" s="2">
        <f>IFERROR(__xludf.DUMMYFUNCTION("""COMPUTED_VALUE"""),42759.14373451987)</f>
        <v>42759.14373</v>
      </c>
      <c r="C3149" s="1" t="str">
        <f>IFERROR(__xludf.DUMMYFUNCTION("""COMPUTED_VALUE"""),"treatment")</f>
        <v>treatment</v>
      </c>
      <c r="D3149" s="1" t="str">
        <f>IFERROR(__xludf.DUMMYFUNCTION("""COMPUTED_VALUE"""),"new_page")</f>
        <v>new_page</v>
      </c>
      <c r="E3149" s="1">
        <f>IFERROR(__xludf.DUMMYFUNCTION("""COMPUTED_VALUE"""),0.0)</f>
        <v>0</v>
      </c>
    </row>
    <row r="3150">
      <c r="A3150" s="1">
        <f>IFERROR(__xludf.DUMMYFUNCTION("""COMPUTED_VALUE"""),938361.0)</f>
        <v>938361</v>
      </c>
      <c r="B3150" s="2">
        <f>IFERROR(__xludf.DUMMYFUNCTION("""COMPUTED_VALUE"""),42742.142697056195)</f>
        <v>42742.1427</v>
      </c>
      <c r="C3150" s="1" t="str">
        <f>IFERROR(__xludf.DUMMYFUNCTION("""COMPUTED_VALUE"""),"control")</f>
        <v>control</v>
      </c>
      <c r="D3150" s="1" t="str">
        <f>IFERROR(__xludf.DUMMYFUNCTION("""COMPUTED_VALUE"""),"old_page")</f>
        <v>old_page</v>
      </c>
      <c r="E3150" s="1">
        <f>IFERROR(__xludf.DUMMYFUNCTION("""COMPUTED_VALUE"""),0.0)</f>
        <v>0</v>
      </c>
    </row>
    <row r="3151">
      <c r="A3151" s="1">
        <f>IFERROR(__xludf.DUMMYFUNCTION("""COMPUTED_VALUE"""),811599.0)</f>
        <v>811599</v>
      </c>
      <c r="B3151" s="2">
        <f>IFERROR(__xludf.DUMMYFUNCTION("""COMPUTED_VALUE"""),42743.35864285985)</f>
        <v>42743.35864</v>
      </c>
      <c r="C3151" s="1" t="str">
        <f>IFERROR(__xludf.DUMMYFUNCTION("""COMPUTED_VALUE"""),"control")</f>
        <v>control</v>
      </c>
      <c r="D3151" s="1" t="str">
        <f>IFERROR(__xludf.DUMMYFUNCTION("""COMPUTED_VALUE"""),"old_page")</f>
        <v>old_page</v>
      </c>
      <c r="E3151" s="1">
        <f>IFERROR(__xludf.DUMMYFUNCTION("""COMPUTED_VALUE"""),0.0)</f>
        <v>0</v>
      </c>
    </row>
    <row r="3152">
      <c r="A3152" s="1">
        <f>IFERROR(__xludf.DUMMYFUNCTION("""COMPUTED_VALUE"""),671297.0)</f>
        <v>671297</v>
      </c>
      <c r="B3152" s="2">
        <f>IFERROR(__xludf.DUMMYFUNCTION("""COMPUTED_VALUE"""),42753.14468943467)</f>
        <v>42753.14469</v>
      </c>
      <c r="C3152" s="1" t="str">
        <f>IFERROR(__xludf.DUMMYFUNCTION("""COMPUTED_VALUE"""),"treatment")</f>
        <v>treatment</v>
      </c>
      <c r="D3152" s="1" t="str">
        <f>IFERROR(__xludf.DUMMYFUNCTION("""COMPUTED_VALUE"""),"new_page")</f>
        <v>new_page</v>
      </c>
      <c r="E3152" s="1">
        <f>IFERROR(__xludf.DUMMYFUNCTION("""COMPUTED_VALUE"""),1.0)</f>
        <v>1</v>
      </c>
    </row>
    <row r="3153">
      <c r="A3153" s="1">
        <f>IFERROR(__xludf.DUMMYFUNCTION("""COMPUTED_VALUE"""),838260.0)</f>
        <v>838260</v>
      </c>
      <c r="B3153" s="2">
        <f>IFERROR(__xludf.DUMMYFUNCTION("""COMPUTED_VALUE"""),42745.621536343264)</f>
        <v>42745.62154</v>
      </c>
      <c r="C3153" s="1" t="str">
        <f>IFERROR(__xludf.DUMMYFUNCTION("""COMPUTED_VALUE"""),"treatment")</f>
        <v>treatment</v>
      </c>
      <c r="D3153" s="1" t="str">
        <f>IFERROR(__xludf.DUMMYFUNCTION("""COMPUTED_VALUE"""),"new_page")</f>
        <v>new_page</v>
      </c>
      <c r="E3153" s="1">
        <f>IFERROR(__xludf.DUMMYFUNCTION("""COMPUTED_VALUE"""),0.0)</f>
        <v>0</v>
      </c>
    </row>
    <row r="3154">
      <c r="A3154" s="1">
        <f>IFERROR(__xludf.DUMMYFUNCTION("""COMPUTED_VALUE"""),753948.0)</f>
        <v>753948</v>
      </c>
      <c r="B3154" s="2">
        <f>IFERROR(__xludf.DUMMYFUNCTION("""COMPUTED_VALUE"""),42759.31132547882)</f>
        <v>42759.31133</v>
      </c>
      <c r="C3154" s="1" t="str">
        <f>IFERROR(__xludf.DUMMYFUNCTION("""COMPUTED_VALUE"""),"control")</f>
        <v>control</v>
      </c>
      <c r="D3154" s="1" t="str">
        <f>IFERROR(__xludf.DUMMYFUNCTION("""COMPUTED_VALUE"""),"old_page")</f>
        <v>old_page</v>
      </c>
      <c r="E3154" s="1">
        <f>IFERROR(__xludf.DUMMYFUNCTION("""COMPUTED_VALUE"""),0.0)</f>
        <v>0</v>
      </c>
    </row>
    <row r="3155">
      <c r="A3155" s="1">
        <f>IFERROR(__xludf.DUMMYFUNCTION("""COMPUTED_VALUE"""),916725.0)</f>
        <v>916725</v>
      </c>
      <c r="B3155" s="2">
        <f>IFERROR(__xludf.DUMMYFUNCTION("""COMPUTED_VALUE"""),42740.91086714381)</f>
        <v>42740.91087</v>
      </c>
      <c r="C3155" s="1" t="str">
        <f>IFERROR(__xludf.DUMMYFUNCTION("""COMPUTED_VALUE"""),"control")</f>
        <v>control</v>
      </c>
      <c r="D3155" s="1" t="str">
        <f>IFERROR(__xludf.DUMMYFUNCTION("""COMPUTED_VALUE"""),"old_page")</f>
        <v>old_page</v>
      </c>
      <c r="E3155" s="1">
        <f>IFERROR(__xludf.DUMMYFUNCTION("""COMPUTED_VALUE"""),0.0)</f>
        <v>0</v>
      </c>
    </row>
    <row r="3156">
      <c r="A3156" s="1">
        <f>IFERROR(__xludf.DUMMYFUNCTION("""COMPUTED_VALUE"""),764757.0)</f>
        <v>764757</v>
      </c>
      <c r="B3156" s="2">
        <f>IFERROR(__xludf.DUMMYFUNCTION("""COMPUTED_VALUE"""),42758.708080117154)</f>
        <v>42758.70808</v>
      </c>
      <c r="C3156" s="1" t="str">
        <f>IFERROR(__xludf.DUMMYFUNCTION("""COMPUTED_VALUE"""),"treatment")</f>
        <v>treatment</v>
      </c>
      <c r="D3156" s="1" t="str">
        <f>IFERROR(__xludf.DUMMYFUNCTION("""COMPUTED_VALUE"""),"new_page")</f>
        <v>new_page</v>
      </c>
      <c r="E3156" s="1">
        <f>IFERROR(__xludf.DUMMYFUNCTION("""COMPUTED_VALUE"""),0.0)</f>
        <v>0</v>
      </c>
    </row>
    <row r="3157">
      <c r="A3157" s="1">
        <f>IFERROR(__xludf.DUMMYFUNCTION("""COMPUTED_VALUE"""),713685.0)</f>
        <v>713685</v>
      </c>
      <c r="B3157" s="2">
        <f>IFERROR(__xludf.DUMMYFUNCTION("""COMPUTED_VALUE"""),42740.49187239317)</f>
        <v>42740.49187</v>
      </c>
      <c r="C3157" s="1" t="str">
        <f>IFERROR(__xludf.DUMMYFUNCTION("""COMPUTED_VALUE"""),"treatment")</f>
        <v>treatment</v>
      </c>
      <c r="D3157" s="1" t="str">
        <f>IFERROR(__xludf.DUMMYFUNCTION("""COMPUTED_VALUE"""),"new_page")</f>
        <v>new_page</v>
      </c>
      <c r="E3157" s="1">
        <f>IFERROR(__xludf.DUMMYFUNCTION("""COMPUTED_VALUE"""),0.0)</f>
        <v>0</v>
      </c>
    </row>
    <row r="3158">
      <c r="A3158" s="1">
        <f>IFERROR(__xludf.DUMMYFUNCTION("""COMPUTED_VALUE"""),933711.0)</f>
        <v>933711</v>
      </c>
      <c r="B3158" s="2">
        <f>IFERROR(__xludf.DUMMYFUNCTION("""COMPUTED_VALUE"""),42744.87698891419)</f>
        <v>42744.87699</v>
      </c>
      <c r="C3158" s="1" t="str">
        <f>IFERROR(__xludf.DUMMYFUNCTION("""COMPUTED_VALUE"""),"treatment")</f>
        <v>treatment</v>
      </c>
      <c r="D3158" s="1" t="str">
        <f>IFERROR(__xludf.DUMMYFUNCTION("""COMPUTED_VALUE"""),"new_page")</f>
        <v>new_page</v>
      </c>
      <c r="E3158" s="1">
        <f>IFERROR(__xludf.DUMMYFUNCTION("""COMPUTED_VALUE"""),0.0)</f>
        <v>0</v>
      </c>
    </row>
    <row r="3159">
      <c r="A3159" s="1">
        <f>IFERROR(__xludf.DUMMYFUNCTION("""COMPUTED_VALUE"""),719474.0)</f>
        <v>719474</v>
      </c>
      <c r="B3159" s="2">
        <f>IFERROR(__xludf.DUMMYFUNCTION("""COMPUTED_VALUE"""),42758.9954369275)</f>
        <v>42758.99544</v>
      </c>
      <c r="C3159" s="1" t="str">
        <f>IFERROR(__xludf.DUMMYFUNCTION("""COMPUTED_VALUE"""),"treatment")</f>
        <v>treatment</v>
      </c>
      <c r="D3159" s="1" t="str">
        <f>IFERROR(__xludf.DUMMYFUNCTION("""COMPUTED_VALUE"""),"new_page")</f>
        <v>new_page</v>
      </c>
      <c r="E3159" s="1">
        <f>IFERROR(__xludf.DUMMYFUNCTION("""COMPUTED_VALUE"""),0.0)</f>
        <v>0</v>
      </c>
    </row>
    <row r="3160">
      <c r="A3160" s="1">
        <f>IFERROR(__xludf.DUMMYFUNCTION("""COMPUTED_VALUE"""),734174.0)</f>
        <v>734174</v>
      </c>
      <c r="B3160" s="2">
        <f>IFERROR(__xludf.DUMMYFUNCTION("""COMPUTED_VALUE"""),42756.96417666412)</f>
        <v>42756.96418</v>
      </c>
      <c r="C3160" s="1" t="str">
        <f>IFERROR(__xludf.DUMMYFUNCTION("""COMPUTED_VALUE"""),"treatment")</f>
        <v>treatment</v>
      </c>
      <c r="D3160" s="1" t="str">
        <f>IFERROR(__xludf.DUMMYFUNCTION("""COMPUTED_VALUE"""),"new_page")</f>
        <v>new_page</v>
      </c>
      <c r="E3160" s="1">
        <f>IFERROR(__xludf.DUMMYFUNCTION("""COMPUTED_VALUE"""),0.0)</f>
        <v>0</v>
      </c>
    </row>
    <row r="3161">
      <c r="A3161" s="1">
        <f>IFERROR(__xludf.DUMMYFUNCTION("""COMPUTED_VALUE"""),880209.0)</f>
        <v>880209</v>
      </c>
      <c r="B3161" s="2">
        <f>IFERROR(__xludf.DUMMYFUNCTION("""COMPUTED_VALUE"""),42759.4430924975)</f>
        <v>42759.44309</v>
      </c>
      <c r="C3161" s="1" t="str">
        <f>IFERROR(__xludf.DUMMYFUNCTION("""COMPUTED_VALUE"""),"control")</f>
        <v>control</v>
      </c>
      <c r="D3161" s="1" t="str">
        <f>IFERROR(__xludf.DUMMYFUNCTION("""COMPUTED_VALUE"""),"old_page")</f>
        <v>old_page</v>
      </c>
      <c r="E3161" s="1">
        <f>IFERROR(__xludf.DUMMYFUNCTION("""COMPUTED_VALUE"""),0.0)</f>
        <v>0</v>
      </c>
    </row>
    <row r="3162">
      <c r="A3162" s="1">
        <f>IFERROR(__xludf.DUMMYFUNCTION("""COMPUTED_VALUE"""),660970.0)</f>
        <v>660970</v>
      </c>
      <c r="B3162" s="2">
        <f>IFERROR(__xludf.DUMMYFUNCTION("""COMPUTED_VALUE"""),42756.77346014453)</f>
        <v>42756.77346</v>
      </c>
      <c r="C3162" s="1" t="str">
        <f>IFERROR(__xludf.DUMMYFUNCTION("""COMPUTED_VALUE"""),"treatment")</f>
        <v>treatment</v>
      </c>
      <c r="D3162" s="1" t="str">
        <f>IFERROR(__xludf.DUMMYFUNCTION("""COMPUTED_VALUE"""),"new_page")</f>
        <v>new_page</v>
      </c>
      <c r="E3162" s="1">
        <f>IFERROR(__xludf.DUMMYFUNCTION("""COMPUTED_VALUE"""),1.0)</f>
        <v>1</v>
      </c>
    </row>
    <row r="3163">
      <c r="A3163" s="1">
        <f>IFERROR(__xludf.DUMMYFUNCTION("""COMPUTED_VALUE"""),839171.0)</f>
        <v>839171</v>
      </c>
      <c r="B3163" s="2">
        <f>IFERROR(__xludf.DUMMYFUNCTION("""COMPUTED_VALUE"""),42738.31284216387)</f>
        <v>42738.31284</v>
      </c>
      <c r="C3163" s="1" t="str">
        <f>IFERROR(__xludf.DUMMYFUNCTION("""COMPUTED_VALUE"""),"treatment")</f>
        <v>treatment</v>
      </c>
      <c r="D3163" s="1" t="str">
        <f>IFERROR(__xludf.DUMMYFUNCTION("""COMPUTED_VALUE"""),"new_page")</f>
        <v>new_page</v>
      </c>
      <c r="E3163" s="1">
        <f>IFERROR(__xludf.DUMMYFUNCTION("""COMPUTED_VALUE"""),0.0)</f>
        <v>0</v>
      </c>
    </row>
    <row r="3164">
      <c r="A3164" s="1">
        <f>IFERROR(__xludf.DUMMYFUNCTION("""COMPUTED_VALUE"""),740581.0)</f>
        <v>740581</v>
      </c>
      <c r="B3164" s="2">
        <f>IFERROR(__xludf.DUMMYFUNCTION("""COMPUTED_VALUE"""),42753.82022568006)</f>
        <v>42753.82023</v>
      </c>
      <c r="C3164" s="1" t="str">
        <f>IFERROR(__xludf.DUMMYFUNCTION("""COMPUTED_VALUE"""),"treatment")</f>
        <v>treatment</v>
      </c>
      <c r="D3164" s="1" t="str">
        <f>IFERROR(__xludf.DUMMYFUNCTION("""COMPUTED_VALUE"""),"new_page")</f>
        <v>new_page</v>
      </c>
      <c r="E3164" s="1">
        <f>IFERROR(__xludf.DUMMYFUNCTION("""COMPUTED_VALUE"""),0.0)</f>
        <v>0</v>
      </c>
    </row>
    <row r="3165">
      <c r="A3165" s="1">
        <f>IFERROR(__xludf.DUMMYFUNCTION("""COMPUTED_VALUE"""),939485.0)</f>
        <v>939485</v>
      </c>
      <c r="B3165" s="2">
        <f>IFERROR(__xludf.DUMMYFUNCTION("""COMPUTED_VALUE"""),42757.52435403045)</f>
        <v>42757.52435</v>
      </c>
      <c r="C3165" s="1" t="str">
        <f>IFERROR(__xludf.DUMMYFUNCTION("""COMPUTED_VALUE"""),"control")</f>
        <v>control</v>
      </c>
      <c r="D3165" s="1" t="str">
        <f>IFERROR(__xludf.DUMMYFUNCTION("""COMPUTED_VALUE"""),"old_page")</f>
        <v>old_page</v>
      </c>
      <c r="E3165" s="1">
        <f>IFERROR(__xludf.DUMMYFUNCTION("""COMPUTED_VALUE"""),0.0)</f>
        <v>0</v>
      </c>
    </row>
    <row r="3166">
      <c r="A3166" s="1">
        <f>IFERROR(__xludf.DUMMYFUNCTION("""COMPUTED_VALUE"""),677606.0)</f>
        <v>677606</v>
      </c>
      <c r="B3166" s="2">
        <f>IFERROR(__xludf.DUMMYFUNCTION("""COMPUTED_VALUE"""),42751.717890569445)</f>
        <v>42751.71789</v>
      </c>
      <c r="C3166" s="1" t="str">
        <f>IFERROR(__xludf.DUMMYFUNCTION("""COMPUTED_VALUE"""),"control")</f>
        <v>control</v>
      </c>
      <c r="D3166" s="1" t="str">
        <f>IFERROR(__xludf.DUMMYFUNCTION("""COMPUTED_VALUE"""),"old_page")</f>
        <v>old_page</v>
      </c>
      <c r="E3166" s="1">
        <f>IFERROR(__xludf.DUMMYFUNCTION("""COMPUTED_VALUE"""),0.0)</f>
        <v>0</v>
      </c>
    </row>
    <row r="3167">
      <c r="A3167" s="1">
        <f>IFERROR(__xludf.DUMMYFUNCTION("""COMPUTED_VALUE"""),732112.0)</f>
        <v>732112</v>
      </c>
      <c r="B3167" s="2">
        <f>IFERROR(__xludf.DUMMYFUNCTION("""COMPUTED_VALUE"""),42756.15839461237)</f>
        <v>42756.15839</v>
      </c>
      <c r="C3167" s="1" t="str">
        <f>IFERROR(__xludf.DUMMYFUNCTION("""COMPUTED_VALUE"""),"control")</f>
        <v>control</v>
      </c>
      <c r="D3167" s="1" t="str">
        <f>IFERROR(__xludf.DUMMYFUNCTION("""COMPUTED_VALUE"""),"old_page")</f>
        <v>old_page</v>
      </c>
      <c r="E3167" s="1">
        <f>IFERROR(__xludf.DUMMYFUNCTION("""COMPUTED_VALUE"""),0.0)</f>
        <v>0</v>
      </c>
    </row>
    <row r="3168">
      <c r="A3168" s="1">
        <f>IFERROR(__xludf.DUMMYFUNCTION("""COMPUTED_VALUE"""),774359.0)</f>
        <v>774359</v>
      </c>
      <c r="B3168" s="2">
        <f>IFERROR(__xludf.DUMMYFUNCTION("""COMPUTED_VALUE"""),42753.0825782439)</f>
        <v>42753.08258</v>
      </c>
      <c r="C3168" s="1" t="str">
        <f>IFERROR(__xludf.DUMMYFUNCTION("""COMPUTED_VALUE"""),"control")</f>
        <v>control</v>
      </c>
      <c r="D3168" s="1" t="str">
        <f>IFERROR(__xludf.DUMMYFUNCTION("""COMPUTED_VALUE"""),"old_page")</f>
        <v>old_page</v>
      </c>
      <c r="E3168" s="1">
        <f>IFERROR(__xludf.DUMMYFUNCTION("""COMPUTED_VALUE"""),0.0)</f>
        <v>0</v>
      </c>
    </row>
    <row r="3169">
      <c r="A3169" s="1">
        <f>IFERROR(__xludf.DUMMYFUNCTION("""COMPUTED_VALUE"""),939428.0)</f>
        <v>939428</v>
      </c>
      <c r="B3169" s="2">
        <f>IFERROR(__xludf.DUMMYFUNCTION("""COMPUTED_VALUE"""),42747.21072966544)</f>
        <v>42747.21073</v>
      </c>
      <c r="C3169" s="1" t="str">
        <f>IFERROR(__xludf.DUMMYFUNCTION("""COMPUTED_VALUE"""),"treatment")</f>
        <v>treatment</v>
      </c>
      <c r="D3169" s="1" t="str">
        <f>IFERROR(__xludf.DUMMYFUNCTION("""COMPUTED_VALUE"""),"new_page")</f>
        <v>new_page</v>
      </c>
      <c r="E3169" s="1">
        <f>IFERROR(__xludf.DUMMYFUNCTION("""COMPUTED_VALUE"""),0.0)</f>
        <v>0</v>
      </c>
    </row>
    <row r="3170">
      <c r="A3170" s="1">
        <f>IFERROR(__xludf.DUMMYFUNCTION("""COMPUTED_VALUE"""),667334.0)</f>
        <v>667334</v>
      </c>
      <c r="B3170" s="2">
        <f>IFERROR(__xludf.DUMMYFUNCTION("""COMPUTED_VALUE"""),42749.0320452525)</f>
        <v>42749.03205</v>
      </c>
      <c r="C3170" s="1" t="str">
        <f>IFERROR(__xludf.DUMMYFUNCTION("""COMPUTED_VALUE"""),"treatment")</f>
        <v>treatment</v>
      </c>
      <c r="D3170" s="1" t="str">
        <f>IFERROR(__xludf.DUMMYFUNCTION("""COMPUTED_VALUE"""),"new_page")</f>
        <v>new_page</v>
      </c>
      <c r="E3170" s="1">
        <f>IFERROR(__xludf.DUMMYFUNCTION("""COMPUTED_VALUE"""),0.0)</f>
        <v>0</v>
      </c>
    </row>
    <row r="3171">
      <c r="A3171" s="1">
        <f>IFERROR(__xludf.DUMMYFUNCTION("""COMPUTED_VALUE"""),650970.0)</f>
        <v>650970</v>
      </c>
      <c r="B3171" s="2">
        <f>IFERROR(__xludf.DUMMYFUNCTION("""COMPUTED_VALUE"""),42742.35511208287)</f>
        <v>42742.35511</v>
      </c>
      <c r="C3171" s="1" t="str">
        <f>IFERROR(__xludf.DUMMYFUNCTION("""COMPUTED_VALUE"""),"control")</f>
        <v>control</v>
      </c>
      <c r="D3171" s="1" t="str">
        <f>IFERROR(__xludf.DUMMYFUNCTION("""COMPUTED_VALUE"""),"old_page")</f>
        <v>old_page</v>
      </c>
      <c r="E3171" s="1">
        <f>IFERROR(__xludf.DUMMYFUNCTION("""COMPUTED_VALUE"""),0.0)</f>
        <v>0</v>
      </c>
    </row>
    <row r="3172">
      <c r="A3172" s="1">
        <f>IFERROR(__xludf.DUMMYFUNCTION("""COMPUTED_VALUE"""),685110.0)</f>
        <v>685110</v>
      </c>
      <c r="B3172" s="2">
        <f>IFERROR(__xludf.DUMMYFUNCTION("""COMPUTED_VALUE"""),42752.25430906533)</f>
        <v>42752.25431</v>
      </c>
      <c r="C3172" s="1" t="str">
        <f>IFERROR(__xludf.DUMMYFUNCTION("""COMPUTED_VALUE"""),"treatment")</f>
        <v>treatment</v>
      </c>
      <c r="D3172" s="1" t="str">
        <f>IFERROR(__xludf.DUMMYFUNCTION("""COMPUTED_VALUE"""),"new_page")</f>
        <v>new_page</v>
      </c>
      <c r="E3172" s="1">
        <f>IFERROR(__xludf.DUMMYFUNCTION("""COMPUTED_VALUE"""),0.0)</f>
        <v>0</v>
      </c>
    </row>
    <row r="3173">
      <c r="A3173" s="1">
        <f>IFERROR(__xludf.DUMMYFUNCTION("""COMPUTED_VALUE"""),712161.0)</f>
        <v>712161</v>
      </c>
      <c r="B3173" s="2">
        <f>IFERROR(__xludf.DUMMYFUNCTION("""COMPUTED_VALUE"""),42752.8267917343)</f>
        <v>42752.82679</v>
      </c>
      <c r="C3173" s="1" t="str">
        <f>IFERROR(__xludf.DUMMYFUNCTION("""COMPUTED_VALUE"""),"treatment")</f>
        <v>treatment</v>
      </c>
      <c r="D3173" s="1" t="str">
        <f>IFERROR(__xludf.DUMMYFUNCTION("""COMPUTED_VALUE"""),"new_page")</f>
        <v>new_page</v>
      </c>
      <c r="E3173" s="1">
        <f>IFERROR(__xludf.DUMMYFUNCTION("""COMPUTED_VALUE"""),1.0)</f>
        <v>1</v>
      </c>
    </row>
    <row r="3174">
      <c r="A3174" s="1">
        <f>IFERROR(__xludf.DUMMYFUNCTION("""COMPUTED_VALUE"""),936821.0)</f>
        <v>936821</v>
      </c>
      <c r="B3174" s="2">
        <f>IFERROR(__xludf.DUMMYFUNCTION("""COMPUTED_VALUE"""),42749.02767301116)</f>
        <v>42749.02767</v>
      </c>
      <c r="C3174" s="1" t="str">
        <f>IFERROR(__xludf.DUMMYFUNCTION("""COMPUTED_VALUE"""),"treatment")</f>
        <v>treatment</v>
      </c>
      <c r="D3174" s="1" t="str">
        <f>IFERROR(__xludf.DUMMYFUNCTION("""COMPUTED_VALUE"""),"new_page")</f>
        <v>new_page</v>
      </c>
      <c r="E3174" s="1">
        <f>IFERROR(__xludf.DUMMYFUNCTION("""COMPUTED_VALUE"""),0.0)</f>
        <v>0</v>
      </c>
    </row>
    <row r="3175">
      <c r="A3175" s="1">
        <f>IFERROR(__xludf.DUMMYFUNCTION("""COMPUTED_VALUE"""),664777.0)</f>
        <v>664777</v>
      </c>
      <c r="B3175" s="2">
        <f>IFERROR(__xludf.DUMMYFUNCTION("""COMPUTED_VALUE"""),42755.29238643906)</f>
        <v>42755.29239</v>
      </c>
      <c r="C3175" s="1" t="str">
        <f>IFERROR(__xludf.DUMMYFUNCTION("""COMPUTED_VALUE"""),"control")</f>
        <v>control</v>
      </c>
      <c r="D3175" s="1" t="str">
        <f>IFERROR(__xludf.DUMMYFUNCTION("""COMPUTED_VALUE"""),"old_page")</f>
        <v>old_page</v>
      </c>
      <c r="E3175" s="1">
        <f>IFERROR(__xludf.DUMMYFUNCTION("""COMPUTED_VALUE"""),0.0)</f>
        <v>0</v>
      </c>
    </row>
    <row r="3176">
      <c r="A3176" s="1">
        <f>IFERROR(__xludf.DUMMYFUNCTION("""COMPUTED_VALUE"""),834022.0)</f>
        <v>834022</v>
      </c>
      <c r="B3176" s="2">
        <f>IFERROR(__xludf.DUMMYFUNCTION("""COMPUTED_VALUE"""),42742.163795168344)</f>
        <v>42742.1638</v>
      </c>
      <c r="C3176" s="1" t="str">
        <f>IFERROR(__xludf.DUMMYFUNCTION("""COMPUTED_VALUE"""),"control")</f>
        <v>control</v>
      </c>
      <c r="D3176" s="1" t="str">
        <f>IFERROR(__xludf.DUMMYFUNCTION("""COMPUTED_VALUE"""),"old_page")</f>
        <v>old_page</v>
      </c>
      <c r="E3176" s="1">
        <f>IFERROR(__xludf.DUMMYFUNCTION("""COMPUTED_VALUE"""),0.0)</f>
        <v>0</v>
      </c>
    </row>
    <row r="3177">
      <c r="A3177" s="1">
        <f>IFERROR(__xludf.DUMMYFUNCTION("""COMPUTED_VALUE"""),647424.0)</f>
        <v>647424</v>
      </c>
      <c r="B3177" s="2">
        <f>IFERROR(__xludf.DUMMYFUNCTION("""COMPUTED_VALUE"""),42756.936894184306)</f>
        <v>42756.93689</v>
      </c>
      <c r="C3177" s="1" t="str">
        <f>IFERROR(__xludf.DUMMYFUNCTION("""COMPUTED_VALUE"""),"treatment")</f>
        <v>treatment</v>
      </c>
      <c r="D3177" s="1" t="str">
        <f>IFERROR(__xludf.DUMMYFUNCTION("""COMPUTED_VALUE"""),"new_page")</f>
        <v>new_page</v>
      </c>
      <c r="E3177" s="1">
        <f>IFERROR(__xludf.DUMMYFUNCTION("""COMPUTED_VALUE"""),0.0)</f>
        <v>0</v>
      </c>
    </row>
    <row r="3178">
      <c r="A3178" s="1">
        <f>IFERROR(__xludf.DUMMYFUNCTION("""COMPUTED_VALUE"""),803542.0)</f>
        <v>803542</v>
      </c>
      <c r="B3178" s="2">
        <f>IFERROR(__xludf.DUMMYFUNCTION("""COMPUTED_VALUE"""),42751.620650103985)</f>
        <v>42751.62065</v>
      </c>
      <c r="C3178" s="1" t="str">
        <f>IFERROR(__xludf.DUMMYFUNCTION("""COMPUTED_VALUE"""),"control")</f>
        <v>control</v>
      </c>
      <c r="D3178" s="1" t="str">
        <f>IFERROR(__xludf.DUMMYFUNCTION("""COMPUTED_VALUE"""),"old_page")</f>
        <v>old_page</v>
      </c>
      <c r="E3178" s="1">
        <f>IFERROR(__xludf.DUMMYFUNCTION("""COMPUTED_VALUE"""),0.0)</f>
        <v>0</v>
      </c>
    </row>
    <row r="3179">
      <c r="A3179" s="1">
        <f>IFERROR(__xludf.DUMMYFUNCTION("""COMPUTED_VALUE"""),809996.0)</f>
        <v>809996</v>
      </c>
      <c r="B3179" s="2">
        <f>IFERROR(__xludf.DUMMYFUNCTION("""COMPUTED_VALUE"""),42756.97783324382)</f>
        <v>42756.97783</v>
      </c>
      <c r="C3179" s="1" t="str">
        <f>IFERROR(__xludf.DUMMYFUNCTION("""COMPUTED_VALUE"""),"control")</f>
        <v>control</v>
      </c>
      <c r="D3179" s="1" t="str">
        <f>IFERROR(__xludf.DUMMYFUNCTION("""COMPUTED_VALUE"""),"old_page")</f>
        <v>old_page</v>
      </c>
      <c r="E3179" s="1">
        <f>IFERROR(__xludf.DUMMYFUNCTION("""COMPUTED_VALUE"""),0.0)</f>
        <v>0</v>
      </c>
    </row>
    <row r="3180">
      <c r="A3180" s="1">
        <f>IFERROR(__xludf.DUMMYFUNCTION("""COMPUTED_VALUE"""),905148.0)</f>
        <v>905148</v>
      </c>
      <c r="B3180" s="2">
        <f>IFERROR(__xludf.DUMMYFUNCTION("""COMPUTED_VALUE"""),42745.39278060362)</f>
        <v>42745.39278</v>
      </c>
      <c r="C3180" s="1" t="str">
        <f>IFERROR(__xludf.DUMMYFUNCTION("""COMPUTED_VALUE"""),"treatment")</f>
        <v>treatment</v>
      </c>
      <c r="D3180" s="1" t="str">
        <f>IFERROR(__xludf.DUMMYFUNCTION("""COMPUTED_VALUE"""),"new_page")</f>
        <v>new_page</v>
      </c>
      <c r="E3180" s="1">
        <f>IFERROR(__xludf.DUMMYFUNCTION("""COMPUTED_VALUE"""),0.0)</f>
        <v>0</v>
      </c>
    </row>
    <row r="3181">
      <c r="A3181" s="1">
        <f>IFERROR(__xludf.DUMMYFUNCTION("""COMPUTED_VALUE"""),884319.0)</f>
        <v>884319</v>
      </c>
      <c r="B3181" s="2">
        <f>IFERROR(__xludf.DUMMYFUNCTION("""COMPUTED_VALUE"""),42737.57195538428)</f>
        <v>42737.57196</v>
      </c>
      <c r="C3181" s="1" t="str">
        <f>IFERROR(__xludf.DUMMYFUNCTION("""COMPUTED_VALUE"""),"treatment")</f>
        <v>treatment</v>
      </c>
      <c r="D3181" s="1" t="str">
        <f>IFERROR(__xludf.DUMMYFUNCTION("""COMPUTED_VALUE"""),"new_page")</f>
        <v>new_page</v>
      </c>
      <c r="E3181" s="1">
        <f>IFERROR(__xludf.DUMMYFUNCTION("""COMPUTED_VALUE"""),0.0)</f>
        <v>0</v>
      </c>
    </row>
    <row r="3182">
      <c r="A3182" s="1">
        <f>IFERROR(__xludf.DUMMYFUNCTION("""COMPUTED_VALUE"""),923326.0)</f>
        <v>923326</v>
      </c>
      <c r="B3182" s="2">
        <f>IFERROR(__xludf.DUMMYFUNCTION("""COMPUTED_VALUE"""),42749.57863052398)</f>
        <v>42749.57863</v>
      </c>
      <c r="C3182" s="1" t="str">
        <f>IFERROR(__xludf.DUMMYFUNCTION("""COMPUTED_VALUE"""),"treatment")</f>
        <v>treatment</v>
      </c>
      <c r="D3182" s="1" t="str">
        <f>IFERROR(__xludf.DUMMYFUNCTION("""COMPUTED_VALUE"""),"new_page")</f>
        <v>new_page</v>
      </c>
      <c r="E3182" s="1">
        <f>IFERROR(__xludf.DUMMYFUNCTION("""COMPUTED_VALUE"""),1.0)</f>
        <v>1</v>
      </c>
    </row>
    <row r="3183">
      <c r="A3183" s="1">
        <f>IFERROR(__xludf.DUMMYFUNCTION("""COMPUTED_VALUE"""),715606.0)</f>
        <v>715606</v>
      </c>
      <c r="B3183" s="2">
        <f>IFERROR(__xludf.DUMMYFUNCTION("""COMPUTED_VALUE"""),42750.13978103322)</f>
        <v>42750.13978</v>
      </c>
      <c r="C3183" s="1" t="str">
        <f>IFERROR(__xludf.DUMMYFUNCTION("""COMPUTED_VALUE"""),"control")</f>
        <v>control</v>
      </c>
      <c r="D3183" s="1" t="str">
        <f>IFERROR(__xludf.DUMMYFUNCTION("""COMPUTED_VALUE"""),"old_page")</f>
        <v>old_page</v>
      </c>
      <c r="E3183" s="1">
        <f>IFERROR(__xludf.DUMMYFUNCTION("""COMPUTED_VALUE"""),0.0)</f>
        <v>0</v>
      </c>
    </row>
    <row r="3184">
      <c r="A3184" s="1">
        <f>IFERROR(__xludf.DUMMYFUNCTION("""COMPUTED_VALUE"""),789322.0)</f>
        <v>789322</v>
      </c>
      <c r="B3184" s="2">
        <f>IFERROR(__xludf.DUMMYFUNCTION("""COMPUTED_VALUE"""),42741.230676776126)</f>
        <v>42741.23068</v>
      </c>
      <c r="C3184" s="1" t="str">
        <f>IFERROR(__xludf.DUMMYFUNCTION("""COMPUTED_VALUE"""),"treatment")</f>
        <v>treatment</v>
      </c>
      <c r="D3184" s="1" t="str">
        <f>IFERROR(__xludf.DUMMYFUNCTION("""COMPUTED_VALUE"""),"new_page")</f>
        <v>new_page</v>
      </c>
      <c r="E3184" s="1">
        <f>IFERROR(__xludf.DUMMYFUNCTION("""COMPUTED_VALUE"""),0.0)</f>
        <v>0</v>
      </c>
    </row>
    <row r="3185">
      <c r="A3185" s="1">
        <f>IFERROR(__xludf.DUMMYFUNCTION("""COMPUTED_VALUE"""),805262.0)</f>
        <v>805262</v>
      </c>
      <c r="B3185" s="2">
        <f>IFERROR(__xludf.DUMMYFUNCTION("""COMPUTED_VALUE"""),42759.51162561126)</f>
        <v>42759.51163</v>
      </c>
      <c r="C3185" s="1" t="str">
        <f>IFERROR(__xludf.DUMMYFUNCTION("""COMPUTED_VALUE"""),"control")</f>
        <v>control</v>
      </c>
      <c r="D3185" s="1" t="str">
        <f>IFERROR(__xludf.DUMMYFUNCTION("""COMPUTED_VALUE"""),"old_page")</f>
        <v>old_page</v>
      </c>
      <c r="E3185" s="1">
        <f>IFERROR(__xludf.DUMMYFUNCTION("""COMPUTED_VALUE"""),0.0)</f>
        <v>0</v>
      </c>
    </row>
    <row r="3186">
      <c r="A3186" s="1">
        <f>IFERROR(__xludf.DUMMYFUNCTION("""COMPUTED_VALUE"""),632131.0)</f>
        <v>632131</v>
      </c>
      <c r="B3186" s="2">
        <f>IFERROR(__xludf.DUMMYFUNCTION("""COMPUTED_VALUE"""),42737.67907500406)</f>
        <v>42737.67908</v>
      </c>
      <c r="C3186" s="1" t="str">
        <f>IFERROR(__xludf.DUMMYFUNCTION("""COMPUTED_VALUE"""),"treatment")</f>
        <v>treatment</v>
      </c>
      <c r="D3186" s="1" t="str">
        <f>IFERROR(__xludf.DUMMYFUNCTION("""COMPUTED_VALUE"""),"new_page")</f>
        <v>new_page</v>
      </c>
      <c r="E3186" s="1">
        <f>IFERROR(__xludf.DUMMYFUNCTION("""COMPUTED_VALUE"""),0.0)</f>
        <v>0</v>
      </c>
    </row>
    <row r="3187">
      <c r="A3187" s="1">
        <f>IFERROR(__xludf.DUMMYFUNCTION("""COMPUTED_VALUE"""),753746.0)</f>
        <v>753746</v>
      </c>
      <c r="B3187" s="2">
        <f>IFERROR(__xludf.DUMMYFUNCTION("""COMPUTED_VALUE"""),42740.71082283999)</f>
        <v>42740.71082</v>
      </c>
      <c r="C3187" s="1" t="str">
        <f>IFERROR(__xludf.DUMMYFUNCTION("""COMPUTED_VALUE"""),"treatment")</f>
        <v>treatment</v>
      </c>
      <c r="D3187" s="1" t="str">
        <f>IFERROR(__xludf.DUMMYFUNCTION("""COMPUTED_VALUE"""),"new_page")</f>
        <v>new_page</v>
      </c>
      <c r="E3187" s="1">
        <f>IFERROR(__xludf.DUMMYFUNCTION("""COMPUTED_VALUE"""),0.0)</f>
        <v>0</v>
      </c>
    </row>
    <row r="3188">
      <c r="A3188" s="1">
        <f>IFERROR(__xludf.DUMMYFUNCTION("""COMPUTED_VALUE"""),692883.0)</f>
        <v>692883</v>
      </c>
      <c r="B3188" s="2">
        <f>IFERROR(__xludf.DUMMYFUNCTION("""COMPUTED_VALUE"""),42745.61296056313)</f>
        <v>42745.61296</v>
      </c>
      <c r="C3188" s="1" t="str">
        <f>IFERROR(__xludf.DUMMYFUNCTION("""COMPUTED_VALUE"""),"treatment")</f>
        <v>treatment</v>
      </c>
      <c r="D3188" s="1" t="str">
        <f>IFERROR(__xludf.DUMMYFUNCTION("""COMPUTED_VALUE"""),"new_page")</f>
        <v>new_page</v>
      </c>
      <c r="E3188" s="1">
        <f>IFERROR(__xludf.DUMMYFUNCTION("""COMPUTED_VALUE"""),0.0)</f>
        <v>0</v>
      </c>
    </row>
    <row r="3189">
      <c r="A3189" s="1">
        <f>IFERROR(__xludf.DUMMYFUNCTION("""COMPUTED_VALUE"""),742039.0)</f>
        <v>742039</v>
      </c>
      <c r="B3189" s="2">
        <f>IFERROR(__xludf.DUMMYFUNCTION("""COMPUTED_VALUE"""),42743.097903044094)</f>
        <v>42743.0979</v>
      </c>
      <c r="C3189" s="1" t="str">
        <f>IFERROR(__xludf.DUMMYFUNCTION("""COMPUTED_VALUE"""),"control")</f>
        <v>control</v>
      </c>
      <c r="D3189" s="1" t="str">
        <f>IFERROR(__xludf.DUMMYFUNCTION("""COMPUTED_VALUE"""),"old_page")</f>
        <v>old_page</v>
      </c>
      <c r="E3189" s="1">
        <f>IFERROR(__xludf.DUMMYFUNCTION("""COMPUTED_VALUE"""),0.0)</f>
        <v>0</v>
      </c>
    </row>
    <row r="3190">
      <c r="A3190" s="1">
        <f>IFERROR(__xludf.DUMMYFUNCTION("""COMPUTED_VALUE"""),736774.0)</f>
        <v>736774</v>
      </c>
      <c r="B3190" s="2">
        <f>IFERROR(__xludf.DUMMYFUNCTION("""COMPUTED_VALUE"""),42752.62450016091)</f>
        <v>42752.6245</v>
      </c>
      <c r="C3190" s="1" t="str">
        <f>IFERROR(__xludf.DUMMYFUNCTION("""COMPUTED_VALUE"""),"control")</f>
        <v>control</v>
      </c>
      <c r="D3190" s="1" t="str">
        <f>IFERROR(__xludf.DUMMYFUNCTION("""COMPUTED_VALUE"""),"old_page")</f>
        <v>old_page</v>
      </c>
      <c r="E3190" s="1">
        <f>IFERROR(__xludf.DUMMYFUNCTION("""COMPUTED_VALUE"""),1.0)</f>
        <v>1</v>
      </c>
    </row>
    <row r="3191">
      <c r="A3191" s="1">
        <f>IFERROR(__xludf.DUMMYFUNCTION("""COMPUTED_VALUE"""),927221.0)</f>
        <v>927221</v>
      </c>
      <c r="B3191" s="2">
        <f>IFERROR(__xludf.DUMMYFUNCTION("""COMPUTED_VALUE"""),42756.56137332337)</f>
        <v>42756.56137</v>
      </c>
      <c r="C3191" s="1" t="str">
        <f>IFERROR(__xludf.DUMMYFUNCTION("""COMPUTED_VALUE"""),"control")</f>
        <v>control</v>
      </c>
      <c r="D3191" s="1" t="str">
        <f>IFERROR(__xludf.DUMMYFUNCTION("""COMPUTED_VALUE"""),"old_page")</f>
        <v>old_page</v>
      </c>
      <c r="E3191" s="1">
        <f>IFERROR(__xludf.DUMMYFUNCTION("""COMPUTED_VALUE"""),0.0)</f>
        <v>0</v>
      </c>
    </row>
    <row r="3192">
      <c r="A3192" s="1">
        <f>IFERROR(__xludf.DUMMYFUNCTION("""COMPUTED_VALUE"""),876732.0)</f>
        <v>876732</v>
      </c>
      <c r="B3192" s="2">
        <f>IFERROR(__xludf.DUMMYFUNCTION("""COMPUTED_VALUE"""),42737.72189267788)</f>
        <v>42737.72189</v>
      </c>
      <c r="C3192" s="1" t="str">
        <f>IFERROR(__xludf.DUMMYFUNCTION("""COMPUTED_VALUE"""),"control")</f>
        <v>control</v>
      </c>
      <c r="D3192" s="1" t="str">
        <f>IFERROR(__xludf.DUMMYFUNCTION("""COMPUTED_VALUE"""),"old_page")</f>
        <v>old_page</v>
      </c>
      <c r="E3192" s="1">
        <f>IFERROR(__xludf.DUMMYFUNCTION("""COMPUTED_VALUE"""),0.0)</f>
        <v>0</v>
      </c>
    </row>
    <row r="3193">
      <c r="A3193" s="1">
        <f>IFERROR(__xludf.DUMMYFUNCTION("""COMPUTED_VALUE"""),785939.0)</f>
        <v>785939</v>
      </c>
      <c r="B3193" s="2">
        <f>IFERROR(__xludf.DUMMYFUNCTION("""COMPUTED_VALUE"""),42746.63870106894)</f>
        <v>42746.6387</v>
      </c>
      <c r="C3193" s="1" t="str">
        <f>IFERROR(__xludf.DUMMYFUNCTION("""COMPUTED_VALUE"""),"treatment")</f>
        <v>treatment</v>
      </c>
      <c r="D3193" s="1" t="str">
        <f>IFERROR(__xludf.DUMMYFUNCTION("""COMPUTED_VALUE"""),"new_page")</f>
        <v>new_page</v>
      </c>
      <c r="E3193" s="1">
        <f>IFERROR(__xludf.DUMMYFUNCTION("""COMPUTED_VALUE"""),0.0)</f>
        <v>0</v>
      </c>
    </row>
    <row r="3194">
      <c r="A3194" s="1">
        <f>IFERROR(__xludf.DUMMYFUNCTION("""COMPUTED_VALUE"""),879069.0)</f>
        <v>879069</v>
      </c>
      <c r="B3194" s="2">
        <f>IFERROR(__xludf.DUMMYFUNCTION("""COMPUTED_VALUE"""),42755.2212609509)</f>
        <v>42755.22126</v>
      </c>
      <c r="C3194" s="1" t="str">
        <f>IFERROR(__xludf.DUMMYFUNCTION("""COMPUTED_VALUE"""),"treatment")</f>
        <v>treatment</v>
      </c>
      <c r="D3194" s="1" t="str">
        <f>IFERROR(__xludf.DUMMYFUNCTION("""COMPUTED_VALUE"""),"new_page")</f>
        <v>new_page</v>
      </c>
      <c r="E3194" s="1">
        <f>IFERROR(__xludf.DUMMYFUNCTION("""COMPUTED_VALUE"""),0.0)</f>
        <v>0</v>
      </c>
    </row>
    <row r="3195">
      <c r="A3195" s="1">
        <f>IFERROR(__xludf.DUMMYFUNCTION("""COMPUTED_VALUE"""),786480.0)</f>
        <v>786480</v>
      </c>
      <c r="B3195" s="2">
        <f>IFERROR(__xludf.DUMMYFUNCTION("""COMPUTED_VALUE"""),42739.85040610961)</f>
        <v>42739.85041</v>
      </c>
      <c r="C3195" s="1" t="str">
        <f>IFERROR(__xludf.DUMMYFUNCTION("""COMPUTED_VALUE"""),"treatment")</f>
        <v>treatment</v>
      </c>
      <c r="D3195" s="1" t="str">
        <f>IFERROR(__xludf.DUMMYFUNCTION("""COMPUTED_VALUE"""),"new_page")</f>
        <v>new_page</v>
      </c>
      <c r="E3195" s="1">
        <f>IFERROR(__xludf.DUMMYFUNCTION("""COMPUTED_VALUE"""),0.0)</f>
        <v>0</v>
      </c>
    </row>
    <row r="3196">
      <c r="A3196" s="1">
        <f>IFERROR(__xludf.DUMMYFUNCTION("""COMPUTED_VALUE"""),807913.0)</f>
        <v>807913</v>
      </c>
      <c r="B3196" s="2">
        <f>IFERROR(__xludf.DUMMYFUNCTION("""COMPUTED_VALUE"""),42748.85847576307)</f>
        <v>42748.85848</v>
      </c>
      <c r="C3196" s="1" t="str">
        <f>IFERROR(__xludf.DUMMYFUNCTION("""COMPUTED_VALUE"""),"treatment")</f>
        <v>treatment</v>
      </c>
      <c r="D3196" s="1" t="str">
        <f>IFERROR(__xludf.DUMMYFUNCTION("""COMPUTED_VALUE"""),"new_page")</f>
        <v>new_page</v>
      </c>
      <c r="E3196" s="1">
        <f>IFERROR(__xludf.DUMMYFUNCTION("""COMPUTED_VALUE"""),1.0)</f>
        <v>1</v>
      </c>
    </row>
    <row r="3197">
      <c r="A3197" s="1">
        <f>IFERROR(__xludf.DUMMYFUNCTION("""COMPUTED_VALUE"""),864706.0)</f>
        <v>864706</v>
      </c>
      <c r="B3197" s="2">
        <f>IFERROR(__xludf.DUMMYFUNCTION("""COMPUTED_VALUE"""),42752.96784145684)</f>
        <v>42752.96784</v>
      </c>
      <c r="C3197" s="1" t="str">
        <f>IFERROR(__xludf.DUMMYFUNCTION("""COMPUTED_VALUE"""),"treatment")</f>
        <v>treatment</v>
      </c>
      <c r="D3197" s="1" t="str">
        <f>IFERROR(__xludf.DUMMYFUNCTION("""COMPUTED_VALUE"""),"new_page")</f>
        <v>new_page</v>
      </c>
      <c r="E3197" s="1">
        <f>IFERROR(__xludf.DUMMYFUNCTION("""COMPUTED_VALUE"""),1.0)</f>
        <v>1</v>
      </c>
    </row>
    <row r="3198">
      <c r="A3198" s="1">
        <f>IFERROR(__xludf.DUMMYFUNCTION("""COMPUTED_VALUE"""),908706.0)</f>
        <v>908706</v>
      </c>
      <c r="B3198" s="2">
        <f>IFERROR(__xludf.DUMMYFUNCTION("""COMPUTED_VALUE"""),42756.01386140883)</f>
        <v>42756.01386</v>
      </c>
      <c r="C3198" s="1" t="str">
        <f>IFERROR(__xludf.DUMMYFUNCTION("""COMPUTED_VALUE"""),"control")</f>
        <v>control</v>
      </c>
      <c r="D3198" s="1" t="str">
        <f>IFERROR(__xludf.DUMMYFUNCTION("""COMPUTED_VALUE"""),"old_page")</f>
        <v>old_page</v>
      </c>
      <c r="E3198" s="1">
        <f>IFERROR(__xludf.DUMMYFUNCTION("""COMPUTED_VALUE"""),0.0)</f>
        <v>0</v>
      </c>
    </row>
    <row r="3199">
      <c r="A3199" s="1">
        <f>IFERROR(__xludf.DUMMYFUNCTION("""COMPUTED_VALUE"""),938302.0)</f>
        <v>938302</v>
      </c>
      <c r="B3199" s="2">
        <f>IFERROR(__xludf.DUMMYFUNCTION("""COMPUTED_VALUE"""),42755.73119875817)</f>
        <v>42755.7312</v>
      </c>
      <c r="C3199" s="1" t="str">
        <f>IFERROR(__xludf.DUMMYFUNCTION("""COMPUTED_VALUE"""),"treatment")</f>
        <v>treatment</v>
      </c>
      <c r="D3199" s="1" t="str">
        <f>IFERROR(__xludf.DUMMYFUNCTION("""COMPUTED_VALUE"""),"new_page")</f>
        <v>new_page</v>
      </c>
      <c r="E3199" s="1">
        <f>IFERROR(__xludf.DUMMYFUNCTION("""COMPUTED_VALUE"""),0.0)</f>
        <v>0</v>
      </c>
    </row>
    <row r="3200">
      <c r="A3200" s="1">
        <f>IFERROR(__xludf.DUMMYFUNCTION("""COMPUTED_VALUE"""),682510.0)</f>
        <v>682510</v>
      </c>
      <c r="B3200" s="2">
        <f>IFERROR(__xludf.DUMMYFUNCTION("""COMPUTED_VALUE"""),42741.9244049064)</f>
        <v>42741.9244</v>
      </c>
      <c r="C3200" s="1" t="str">
        <f>IFERROR(__xludf.DUMMYFUNCTION("""COMPUTED_VALUE"""),"treatment")</f>
        <v>treatment</v>
      </c>
      <c r="D3200" s="1" t="str">
        <f>IFERROR(__xludf.DUMMYFUNCTION("""COMPUTED_VALUE"""),"new_page")</f>
        <v>new_page</v>
      </c>
      <c r="E3200" s="1">
        <f>IFERROR(__xludf.DUMMYFUNCTION("""COMPUTED_VALUE"""),1.0)</f>
        <v>1</v>
      </c>
    </row>
    <row r="3201">
      <c r="A3201" s="1">
        <f>IFERROR(__xludf.DUMMYFUNCTION("""COMPUTED_VALUE"""),796279.0)</f>
        <v>796279</v>
      </c>
      <c r="B3201" s="2">
        <f>IFERROR(__xludf.DUMMYFUNCTION("""COMPUTED_VALUE"""),42753.15581754915)</f>
        <v>42753.15582</v>
      </c>
      <c r="C3201" s="1" t="str">
        <f>IFERROR(__xludf.DUMMYFUNCTION("""COMPUTED_VALUE"""),"treatment")</f>
        <v>treatment</v>
      </c>
      <c r="D3201" s="1" t="str">
        <f>IFERROR(__xludf.DUMMYFUNCTION("""COMPUTED_VALUE"""),"new_page")</f>
        <v>new_page</v>
      </c>
      <c r="E3201" s="1">
        <f>IFERROR(__xludf.DUMMYFUNCTION("""COMPUTED_VALUE"""),0.0)</f>
        <v>0</v>
      </c>
    </row>
    <row r="3202">
      <c r="A3202" s="1">
        <f>IFERROR(__xludf.DUMMYFUNCTION("""COMPUTED_VALUE"""),839475.0)</f>
        <v>839475</v>
      </c>
      <c r="B3202" s="2">
        <f>IFERROR(__xludf.DUMMYFUNCTION("""COMPUTED_VALUE"""),42750.738534376)</f>
        <v>42750.73853</v>
      </c>
      <c r="C3202" s="1" t="str">
        <f>IFERROR(__xludf.DUMMYFUNCTION("""COMPUTED_VALUE"""),"treatment")</f>
        <v>treatment</v>
      </c>
      <c r="D3202" s="1" t="str">
        <f>IFERROR(__xludf.DUMMYFUNCTION("""COMPUTED_VALUE"""),"new_page")</f>
        <v>new_page</v>
      </c>
      <c r="E3202" s="1">
        <f>IFERROR(__xludf.DUMMYFUNCTION("""COMPUTED_VALUE"""),0.0)</f>
        <v>0</v>
      </c>
    </row>
    <row r="3203">
      <c r="A3203" s="1">
        <f>IFERROR(__xludf.DUMMYFUNCTION("""COMPUTED_VALUE"""),910814.0)</f>
        <v>910814</v>
      </c>
      <c r="B3203" s="2">
        <f>IFERROR(__xludf.DUMMYFUNCTION("""COMPUTED_VALUE"""),42758.330222699384)</f>
        <v>42758.33022</v>
      </c>
      <c r="C3203" s="1" t="str">
        <f>IFERROR(__xludf.DUMMYFUNCTION("""COMPUTED_VALUE"""),"treatment")</f>
        <v>treatment</v>
      </c>
      <c r="D3203" s="1" t="str">
        <f>IFERROR(__xludf.DUMMYFUNCTION("""COMPUTED_VALUE"""),"new_page")</f>
        <v>new_page</v>
      </c>
      <c r="E3203" s="1">
        <f>IFERROR(__xludf.DUMMYFUNCTION("""COMPUTED_VALUE"""),0.0)</f>
        <v>0</v>
      </c>
    </row>
    <row r="3204">
      <c r="A3204" s="1">
        <f>IFERROR(__xludf.DUMMYFUNCTION("""COMPUTED_VALUE"""),856289.0)</f>
        <v>856289</v>
      </c>
      <c r="B3204" s="2">
        <f>IFERROR(__xludf.DUMMYFUNCTION("""COMPUTED_VALUE"""),42754.120039525646)</f>
        <v>42754.12004</v>
      </c>
      <c r="C3204" s="1" t="str">
        <f>IFERROR(__xludf.DUMMYFUNCTION("""COMPUTED_VALUE"""),"treatment")</f>
        <v>treatment</v>
      </c>
      <c r="D3204" s="1" t="str">
        <f>IFERROR(__xludf.DUMMYFUNCTION("""COMPUTED_VALUE"""),"new_page")</f>
        <v>new_page</v>
      </c>
      <c r="E3204" s="1">
        <f>IFERROR(__xludf.DUMMYFUNCTION("""COMPUTED_VALUE"""),0.0)</f>
        <v>0</v>
      </c>
    </row>
    <row r="3205">
      <c r="A3205" s="1">
        <f>IFERROR(__xludf.DUMMYFUNCTION("""COMPUTED_VALUE"""),725622.0)</f>
        <v>725622</v>
      </c>
      <c r="B3205" s="2">
        <f>IFERROR(__xludf.DUMMYFUNCTION("""COMPUTED_VALUE"""),42742.84474944889)</f>
        <v>42742.84475</v>
      </c>
      <c r="C3205" s="1" t="str">
        <f>IFERROR(__xludf.DUMMYFUNCTION("""COMPUTED_VALUE"""),"control")</f>
        <v>control</v>
      </c>
      <c r="D3205" s="1" t="str">
        <f>IFERROR(__xludf.DUMMYFUNCTION("""COMPUTED_VALUE"""),"old_page")</f>
        <v>old_page</v>
      </c>
      <c r="E3205" s="1">
        <f>IFERROR(__xludf.DUMMYFUNCTION("""COMPUTED_VALUE"""),0.0)</f>
        <v>0</v>
      </c>
    </row>
    <row r="3206">
      <c r="A3206" s="1">
        <f>IFERROR(__xludf.DUMMYFUNCTION("""COMPUTED_VALUE"""),826085.0)</f>
        <v>826085</v>
      </c>
      <c r="B3206" s="2">
        <f>IFERROR(__xludf.DUMMYFUNCTION("""COMPUTED_VALUE"""),42751.17809695481)</f>
        <v>42751.1781</v>
      </c>
      <c r="C3206" s="1" t="str">
        <f>IFERROR(__xludf.DUMMYFUNCTION("""COMPUTED_VALUE"""),"treatment")</f>
        <v>treatment</v>
      </c>
      <c r="D3206" s="1" t="str">
        <f>IFERROR(__xludf.DUMMYFUNCTION("""COMPUTED_VALUE"""),"new_page")</f>
        <v>new_page</v>
      </c>
      <c r="E3206" s="1">
        <f>IFERROR(__xludf.DUMMYFUNCTION("""COMPUTED_VALUE"""),0.0)</f>
        <v>0</v>
      </c>
    </row>
    <row r="3207">
      <c r="A3207" s="1">
        <f>IFERROR(__xludf.DUMMYFUNCTION("""COMPUTED_VALUE"""),829368.0)</f>
        <v>829368</v>
      </c>
      <c r="B3207" s="2">
        <f>IFERROR(__xludf.DUMMYFUNCTION("""COMPUTED_VALUE"""),42756.69661495204)</f>
        <v>42756.69661</v>
      </c>
      <c r="C3207" s="1" t="str">
        <f>IFERROR(__xludf.DUMMYFUNCTION("""COMPUTED_VALUE"""),"treatment")</f>
        <v>treatment</v>
      </c>
      <c r="D3207" s="1" t="str">
        <f>IFERROR(__xludf.DUMMYFUNCTION("""COMPUTED_VALUE"""),"new_page")</f>
        <v>new_page</v>
      </c>
      <c r="E3207" s="1">
        <f>IFERROR(__xludf.DUMMYFUNCTION("""COMPUTED_VALUE"""),0.0)</f>
        <v>0</v>
      </c>
    </row>
    <row r="3208">
      <c r="A3208" s="1">
        <f>IFERROR(__xludf.DUMMYFUNCTION("""COMPUTED_VALUE"""),672815.0)</f>
        <v>672815</v>
      </c>
      <c r="B3208" s="2">
        <f>IFERROR(__xludf.DUMMYFUNCTION("""COMPUTED_VALUE"""),42737.71275801395)</f>
        <v>42737.71276</v>
      </c>
      <c r="C3208" s="1" t="str">
        <f>IFERROR(__xludf.DUMMYFUNCTION("""COMPUTED_VALUE"""),"control")</f>
        <v>control</v>
      </c>
      <c r="D3208" s="1" t="str">
        <f>IFERROR(__xludf.DUMMYFUNCTION("""COMPUTED_VALUE"""),"old_page")</f>
        <v>old_page</v>
      </c>
      <c r="E3208" s="1">
        <f>IFERROR(__xludf.DUMMYFUNCTION("""COMPUTED_VALUE"""),0.0)</f>
        <v>0</v>
      </c>
    </row>
    <row r="3209">
      <c r="A3209" s="1">
        <f>IFERROR(__xludf.DUMMYFUNCTION("""COMPUTED_VALUE"""),907424.0)</f>
        <v>907424</v>
      </c>
      <c r="B3209" s="2">
        <f>IFERROR(__xludf.DUMMYFUNCTION("""COMPUTED_VALUE"""),42737.8332020075)</f>
        <v>42737.8332</v>
      </c>
      <c r="C3209" s="1" t="str">
        <f>IFERROR(__xludf.DUMMYFUNCTION("""COMPUTED_VALUE"""),"treatment")</f>
        <v>treatment</v>
      </c>
      <c r="D3209" s="1" t="str">
        <f>IFERROR(__xludf.DUMMYFUNCTION("""COMPUTED_VALUE"""),"new_page")</f>
        <v>new_page</v>
      </c>
      <c r="E3209" s="1">
        <f>IFERROR(__xludf.DUMMYFUNCTION("""COMPUTED_VALUE"""),0.0)</f>
        <v>0</v>
      </c>
    </row>
    <row r="3210">
      <c r="A3210" s="1">
        <f>IFERROR(__xludf.DUMMYFUNCTION("""COMPUTED_VALUE"""),819300.0)</f>
        <v>819300</v>
      </c>
      <c r="B3210" s="2">
        <f>IFERROR(__xludf.DUMMYFUNCTION("""COMPUTED_VALUE"""),42754.77616657561)</f>
        <v>42754.77617</v>
      </c>
      <c r="C3210" s="1" t="str">
        <f>IFERROR(__xludf.DUMMYFUNCTION("""COMPUTED_VALUE"""),"treatment")</f>
        <v>treatment</v>
      </c>
      <c r="D3210" s="1" t="str">
        <f>IFERROR(__xludf.DUMMYFUNCTION("""COMPUTED_VALUE"""),"new_page")</f>
        <v>new_page</v>
      </c>
      <c r="E3210" s="1">
        <f>IFERROR(__xludf.DUMMYFUNCTION("""COMPUTED_VALUE"""),0.0)</f>
        <v>0</v>
      </c>
    </row>
    <row r="3211">
      <c r="A3211" s="1">
        <f>IFERROR(__xludf.DUMMYFUNCTION("""COMPUTED_VALUE"""),805069.0)</f>
        <v>805069</v>
      </c>
      <c r="B3211" s="2">
        <f>IFERROR(__xludf.DUMMYFUNCTION("""COMPUTED_VALUE"""),42748.36325413332)</f>
        <v>42748.36325</v>
      </c>
      <c r="C3211" s="1" t="str">
        <f>IFERROR(__xludf.DUMMYFUNCTION("""COMPUTED_VALUE"""),"treatment")</f>
        <v>treatment</v>
      </c>
      <c r="D3211" s="1" t="str">
        <f>IFERROR(__xludf.DUMMYFUNCTION("""COMPUTED_VALUE"""),"new_page")</f>
        <v>new_page</v>
      </c>
      <c r="E3211" s="1">
        <f>IFERROR(__xludf.DUMMYFUNCTION("""COMPUTED_VALUE"""),0.0)</f>
        <v>0</v>
      </c>
    </row>
    <row r="3212">
      <c r="A3212" s="1">
        <f>IFERROR(__xludf.DUMMYFUNCTION("""COMPUTED_VALUE"""),788491.0)</f>
        <v>788491</v>
      </c>
      <c r="B3212" s="2">
        <f>IFERROR(__xludf.DUMMYFUNCTION("""COMPUTED_VALUE"""),42749.334284023345)</f>
        <v>42749.33428</v>
      </c>
      <c r="C3212" s="1" t="str">
        <f>IFERROR(__xludf.DUMMYFUNCTION("""COMPUTED_VALUE"""),"treatment")</f>
        <v>treatment</v>
      </c>
      <c r="D3212" s="1" t="str">
        <f>IFERROR(__xludf.DUMMYFUNCTION("""COMPUTED_VALUE"""),"new_page")</f>
        <v>new_page</v>
      </c>
      <c r="E3212" s="1">
        <f>IFERROR(__xludf.DUMMYFUNCTION("""COMPUTED_VALUE"""),0.0)</f>
        <v>0</v>
      </c>
    </row>
    <row r="3213">
      <c r="A3213" s="1">
        <f>IFERROR(__xludf.DUMMYFUNCTION("""COMPUTED_VALUE"""),650767.0)</f>
        <v>650767</v>
      </c>
      <c r="B3213" s="2">
        <f>IFERROR(__xludf.DUMMYFUNCTION("""COMPUTED_VALUE"""),42752.38765060529)</f>
        <v>42752.38765</v>
      </c>
      <c r="C3213" s="1" t="str">
        <f>IFERROR(__xludf.DUMMYFUNCTION("""COMPUTED_VALUE"""),"control")</f>
        <v>control</v>
      </c>
      <c r="D3213" s="1" t="str">
        <f>IFERROR(__xludf.DUMMYFUNCTION("""COMPUTED_VALUE"""),"old_page")</f>
        <v>old_page</v>
      </c>
      <c r="E3213" s="1">
        <f>IFERROR(__xludf.DUMMYFUNCTION("""COMPUTED_VALUE"""),0.0)</f>
        <v>0</v>
      </c>
    </row>
    <row r="3214">
      <c r="A3214" s="1">
        <f>IFERROR(__xludf.DUMMYFUNCTION("""COMPUTED_VALUE"""),764766.0)</f>
        <v>764766</v>
      </c>
      <c r="B3214" s="2">
        <f>IFERROR(__xludf.DUMMYFUNCTION("""COMPUTED_VALUE"""),42739.21376088654)</f>
        <v>42739.21376</v>
      </c>
      <c r="C3214" s="1" t="str">
        <f>IFERROR(__xludf.DUMMYFUNCTION("""COMPUTED_VALUE"""),"control")</f>
        <v>control</v>
      </c>
      <c r="D3214" s="1" t="str">
        <f>IFERROR(__xludf.DUMMYFUNCTION("""COMPUTED_VALUE"""),"old_page")</f>
        <v>old_page</v>
      </c>
      <c r="E3214" s="1">
        <f>IFERROR(__xludf.DUMMYFUNCTION("""COMPUTED_VALUE"""),0.0)</f>
        <v>0</v>
      </c>
    </row>
    <row r="3215">
      <c r="A3215" s="1">
        <f>IFERROR(__xludf.DUMMYFUNCTION("""COMPUTED_VALUE"""),723527.0)</f>
        <v>723527</v>
      </c>
      <c r="B3215" s="2">
        <f>IFERROR(__xludf.DUMMYFUNCTION("""COMPUTED_VALUE"""),42754.43782492662)</f>
        <v>42754.43782</v>
      </c>
      <c r="C3215" s="1" t="str">
        <f>IFERROR(__xludf.DUMMYFUNCTION("""COMPUTED_VALUE"""),"control")</f>
        <v>control</v>
      </c>
      <c r="D3215" s="1" t="str">
        <f>IFERROR(__xludf.DUMMYFUNCTION("""COMPUTED_VALUE"""),"old_page")</f>
        <v>old_page</v>
      </c>
      <c r="E3215" s="1">
        <f>IFERROR(__xludf.DUMMYFUNCTION("""COMPUTED_VALUE"""),0.0)</f>
        <v>0</v>
      </c>
    </row>
    <row r="3216">
      <c r="A3216" s="1">
        <f>IFERROR(__xludf.DUMMYFUNCTION("""COMPUTED_VALUE"""),726832.0)</f>
        <v>726832</v>
      </c>
      <c r="B3216" s="2">
        <f>IFERROR(__xludf.DUMMYFUNCTION("""COMPUTED_VALUE"""),42758.795059073644)</f>
        <v>42758.79506</v>
      </c>
      <c r="C3216" s="1" t="str">
        <f>IFERROR(__xludf.DUMMYFUNCTION("""COMPUTED_VALUE"""),"treatment")</f>
        <v>treatment</v>
      </c>
      <c r="D3216" s="1" t="str">
        <f>IFERROR(__xludf.DUMMYFUNCTION("""COMPUTED_VALUE"""),"new_page")</f>
        <v>new_page</v>
      </c>
      <c r="E3216" s="1">
        <f>IFERROR(__xludf.DUMMYFUNCTION("""COMPUTED_VALUE"""),1.0)</f>
        <v>1</v>
      </c>
    </row>
    <row r="3217">
      <c r="A3217" s="1">
        <f>IFERROR(__xludf.DUMMYFUNCTION("""COMPUTED_VALUE"""),840823.0)</f>
        <v>840823</v>
      </c>
      <c r="B3217" s="2">
        <f>IFERROR(__xludf.DUMMYFUNCTION("""COMPUTED_VALUE"""),42738.20728878996)</f>
        <v>42738.20729</v>
      </c>
      <c r="C3217" s="1" t="str">
        <f>IFERROR(__xludf.DUMMYFUNCTION("""COMPUTED_VALUE"""),"control")</f>
        <v>control</v>
      </c>
      <c r="D3217" s="1" t="str">
        <f>IFERROR(__xludf.DUMMYFUNCTION("""COMPUTED_VALUE"""),"old_page")</f>
        <v>old_page</v>
      </c>
      <c r="E3217" s="1">
        <f>IFERROR(__xludf.DUMMYFUNCTION("""COMPUTED_VALUE"""),0.0)</f>
        <v>0</v>
      </c>
    </row>
    <row r="3218">
      <c r="A3218" s="1">
        <f>IFERROR(__xludf.DUMMYFUNCTION("""COMPUTED_VALUE"""),885497.0)</f>
        <v>885497</v>
      </c>
      <c r="B3218" s="2">
        <f>IFERROR(__xludf.DUMMYFUNCTION("""COMPUTED_VALUE"""),42746.97374160384)</f>
        <v>42746.97374</v>
      </c>
      <c r="C3218" s="1" t="str">
        <f>IFERROR(__xludf.DUMMYFUNCTION("""COMPUTED_VALUE"""),"control")</f>
        <v>control</v>
      </c>
      <c r="D3218" s="1" t="str">
        <f>IFERROR(__xludf.DUMMYFUNCTION("""COMPUTED_VALUE"""),"old_page")</f>
        <v>old_page</v>
      </c>
      <c r="E3218" s="1">
        <f>IFERROR(__xludf.DUMMYFUNCTION("""COMPUTED_VALUE"""),0.0)</f>
        <v>0</v>
      </c>
    </row>
    <row r="3219">
      <c r="A3219" s="1">
        <f>IFERROR(__xludf.DUMMYFUNCTION("""COMPUTED_VALUE"""),724078.0)</f>
        <v>724078</v>
      </c>
      <c r="B3219" s="2">
        <f>IFERROR(__xludf.DUMMYFUNCTION("""COMPUTED_VALUE"""),42752.2898565656)</f>
        <v>42752.28986</v>
      </c>
      <c r="C3219" s="1" t="str">
        <f>IFERROR(__xludf.DUMMYFUNCTION("""COMPUTED_VALUE"""),"treatment")</f>
        <v>treatment</v>
      </c>
      <c r="D3219" s="1" t="str">
        <f>IFERROR(__xludf.DUMMYFUNCTION("""COMPUTED_VALUE"""),"new_page")</f>
        <v>new_page</v>
      </c>
      <c r="E3219" s="1">
        <f>IFERROR(__xludf.DUMMYFUNCTION("""COMPUTED_VALUE"""),0.0)</f>
        <v>0</v>
      </c>
    </row>
    <row r="3220">
      <c r="A3220" s="1">
        <f>IFERROR(__xludf.DUMMYFUNCTION("""COMPUTED_VALUE"""),874119.0)</f>
        <v>874119</v>
      </c>
      <c r="B3220" s="2">
        <f>IFERROR(__xludf.DUMMYFUNCTION("""COMPUTED_VALUE"""),42757.50314303506)</f>
        <v>42757.50314</v>
      </c>
      <c r="C3220" s="1" t="str">
        <f>IFERROR(__xludf.DUMMYFUNCTION("""COMPUTED_VALUE"""),"control")</f>
        <v>control</v>
      </c>
      <c r="D3220" s="1" t="str">
        <f>IFERROR(__xludf.DUMMYFUNCTION("""COMPUTED_VALUE"""),"old_page")</f>
        <v>old_page</v>
      </c>
      <c r="E3220" s="1">
        <f>IFERROR(__xludf.DUMMYFUNCTION("""COMPUTED_VALUE"""),0.0)</f>
        <v>0</v>
      </c>
    </row>
    <row r="3221">
      <c r="A3221" s="1">
        <f>IFERROR(__xludf.DUMMYFUNCTION("""COMPUTED_VALUE"""),773003.0)</f>
        <v>773003</v>
      </c>
      <c r="B3221" s="2">
        <f>IFERROR(__xludf.DUMMYFUNCTION("""COMPUTED_VALUE"""),42742.90505497088)</f>
        <v>42742.90505</v>
      </c>
      <c r="C3221" s="1" t="str">
        <f>IFERROR(__xludf.DUMMYFUNCTION("""COMPUTED_VALUE"""),"treatment")</f>
        <v>treatment</v>
      </c>
      <c r="D3221" s="1" t="str">
        <f>IFERROR(__xludf.DUMMYFUNCTION("""COMPUTED_VALUE"""),"new_page")</f>
        <v>new_page</v>
      </c>
      <c r="E3221" s="1">
        <f>IFERROR(__xludf.DUMMYFUNCTION("""COMPUTED_VALUE"""),0.0)</f>
        <v>0</v>
      </c>
    </row>
    <row r="3222">
      <c r="A3222" s="1">
        <f>IFERROR(__xludf.DUMMYFUNCTION("""COMPUTED_VALUE"""),652743.0)</f>
        <v>652743</v>
      </c>
      <c r="B3222" s="2">
        <f>IFERROR(__xludf.DUMMYFUNCTION("""COMPUTED_VALUE"""),42750.874854067406)</f>
        <v>42750.87485</v>
      </c>
      <c r="C3222" s="1" t="str">
        <f>IFERROR(__xludf.DUMMYFUNCTION("""COMPUTED_VALUE"""),"control")</f>
        <v>control</v>
      </c>
      <c r="D3222" s="1" t="str">
        <f>IFERROR(__xludf.DUMMYFUNCTION("""COMPUTED_VALUE"""),"old_page")</f>
        <v>old_page</v>
      </c>
      <c r="E3222" s="1">
        <f>IFERROR(__xludf.DUMMYFUNCTION("""COMPUTED_VALUE"""),0.0)</f>
        <v>0</v>
      </c>
    </row>
    <row r="3223">
      <c r="A3223" s="1">
        <f>IFERROR(__xludf.DUMMYFUNCTION("""COMPUTED_VALUE"""),781259.0)</f>
        <v>781259</v>
      </c>
      <c r="B3223" s="2">
        <f>IFERROR(__xludf.DUMMYFUNCTION("""COMPUTED_VALUE"""),42750.45888545195)</f>
        <v>42750.45889</v>
      </c>
      <c r="C3223" s="1" t="str">
        <f>IFERROR(__xludf.DUMMYFUNCTION("""COMPUTED_VALUE"""),"control")</f>
        <v>control</v>
      </c>
      <c r="D3223" s="1" t="str">
        <f>IFERROR(__xludf.DUMMYFUNCTION("""COMPUTED_VALUE"""),"old_page")</f>
        <v>old_page</v>
      </c>
      <c r="E3223" s="1">
        <f>IFERROR(__xludf.DUMMYFUNCTION("""COMPUTED_VALUE"""),0.0)</f>
        <v>0</v>
      </c>
    </row>
    <row r="3224">
      <c r="A3224" s="1">
        <f>IFERROR(__xludf.DUMMYFUNCTION("""COMPUTED_VALUE"""),841514.0)</f>
        <v>841514</v>
      </c>
      <c r="B3224" s="2">
        <f>IFERROR(__xludf.DUMMYFUNCTION("""COMPUTED_VALUE"""),42750.977886801)</f>
        <v>42750.97789</v>
      </c>
      <c r="C3224" s="1" t="str">
        <f>IFERROR(__xludf.DUMMYFUNCTION("""COMPUTED_VALUE"""),"treatment")</f>
        <v>treatment</v>
      </c>
      <c r="D3224" s="1" t="str">
        <f>IFERROR(__xludf.DUMMYFUNCTION("""COMPUTED_VALUE"""),"new_page")</f>
        <v>new_page</v>
      </c>
      <c r="E3224" s="1">
        <f>IFERROR(__xludf.DUMMYFUNCTION("""COMPUTED_VALUE"""),0.0)</f>
        <v>0</v>
      </c>
    </row>
    <row r="3225">
      <c r="A3225" s="1">
        <f>IFERROR(__xludf.DUMMYFUNCTION("""COMPUTED_VALUE"""),699700.0)</f>
        <v>699700</v>
      </c>
      <c r="B3225" s="2">
        <f>IFERROR(__xludf.DUMMYFUNCTION("""COMPUTED_VALUE"""),42743.52895139374)</f>
        <v>42743.52895</v>
      </c>
      <c r="C3225" s="1" t="str">
        <f>IFERROR(__xludf.DUMMYFUNCTION("""COMPUTED_VALUE"""),"treatment")</f>
        <v>treatment</v>
      </c>
      <c r="D3225" s="1" t="str">
        <f>IFERROR(__xludf.DUMMYFUNCTION("""COMPUTED_VALUE"""),"new_page")</f>
        <v>new_page</v>
      </c>
      <c r="E3225" s="1">
        <f>IFERROR(__xludf.DUMMYFUNCTION("""COMPUTED_VALUE"""),0.0)</f>
        <v>0</v>
      </c>
    </row>
    <row r="3226">
      <c r="A3226" s="1">
        <f>IFERROR(__xludf.DUMMYFUNCTION("""COMPUTED_VALUE"""),695896.0)</f>
        <v>695896</v>
      </c>
      <c r="B3226" s="2">
        <f>IFERROR(__xludf.DUMMYFUNCTION("""COMPUTED_VALUE"""),42751.071773190175)</f>
        <v>42751.07177</v>
      </c>
      <c r="C3226" s="1" t="str">
        <f>IFERROR(__xludf.DUMMYFUNCTION("""COMPUTED_VALUE"""),"treatment")</f>
        <v>treatment</v>
      </c>
      <c r="D3226" s="1" t="str">
        <f>IFERROR(__xludf.DUMMYFUNCTION("""COMPUTED_VALUE"""),"new_page")</f>
        <v>new_page</v>
      </c>
      <c r="E3226" s="1">
        <f>IFERROR(__xludf.DUMMYFUNCTION("""COMPUTED_VALUE"""),1.0)</f>
        <v>1</v>
      </c>
    </row>
    <row r="3227">
      <c r="A3227" s="1">
        <f>IFERROR(__xludf.DUMMYFUNCTION("""COMPUTED_VALUE"""),675154.0)</f>
        <v>675154</v>
      </c>
      <c r="B3227" s="2">
        <f>IFERROR(__xludf.DUMMYFUNCTION("""COMPUTED_VALUE"""),42759.444712213844)</f>
        <v>42759.44471</v>
      </c>
      <c r="C3227" s="1" t="str">
        <f>IFERROR(__xludf.DUMMYFUNCTION("""COMPUTED_VALUE"""),"treatment")</f>
        <v>treatment</v>
      </c>
      <c r="D3227" s="1" t="str">
        <f>IFERROR(__xludf.DUMMYFUNCTION("""COMPUTED_VALUE"""),"new_page")</f>
        <v>new_page</v>
      </c>
      <c r="E3227" s="1">
        <f>IFERROR(__xludf.DUMMYFUNCTION("""COMPUTED_VALUE"""),0.0)</f>
        <v>0</v>
      </c>
    </row>
    <row r="3228">
      <c r="A3228" s="1">
        <f>IFERROR(__xludf.DUMMYFUNCTION("""COMPUTED_VALUE"""),678764.0)</f>
        <v>678764</v>
      </c>
      <c r="B3228" s="2">
        <f>IFERROR(__xludf.DUMMYFUNCTION("""COMPUTED_VALUE"""),42749.639329862)</f>
        <v>42749.63933</v>
      </c>
      <c r="C3228" s="1" t="str">
        <f>IFERROR(__xludf.DUMMYFUNCTION("""COMPUTED_VALUE"""),"treatment")</f>
        <v>treatment</v>
      </c>
      <c r="D3228" s="1" t="str">
        <f>IFERROR(__xludf.DUMMYFUNCTION("""COMPUTED_VALUE"""),"new_page")</f>
        <v>new_page</v>
      </c>
      <c r="E3228" s="1">
        <f>IFERROR(__xludf.DUMMYFUNCTION("""COMPUTED_VALUE"""),0.0)</f>
        <v>0</v>
      </c>
    </row>
    <row r="3229">
      <c r="A3229" s="1">
        <f>IFERROR(__xludf.DUMMYFUNCTION("""COMPUTED_VALUE"""),821203.0)</f>
        <v>821203</v>
      </c>
      <c r="B3229" s="2">
        <f>IFERROR(__xludf.DUMMYFUNCTION("""COMPUTED_VALUE"""),42745.117707022524)</f>
        <v>42745.11771</v>
      </c>
      <c r="C3229" s="1" t="str">
        <f>IFERROR(__xludf.DUMMYFUNCTION("""COMPUTED_VALUE"""),"control")</f>
        <v>control</v>
      </c>
      <c r="D3229" s="1" t="str">
        <f>IFERROR(__xludf.DUMMYFUNCTION("""COMPUTED_VALUE"""),"old_page")</f>
        <v>old_page</v>
      </c>
      <c r="E3229" s="1">
        <f>IFERROR(__xludf.DUMMYFUNCTION("""COMPUTED_VALUE"""),0.0)</f>
        <v>0</v>
      </c>
    </row>
    <row r="3230">
      <c r="A3230" s="1">
        <f>IFERROR(__xludf.DUMMYFUNCTION("""COMPUTED_VALUE"""),843470.0)</f>
        <v>843470</v>
      </c>
      <c r="B3230" s="2">
        <f>IFERROR(__xludf.DUMMYFUNCTION("""COMPUTED_VALUE"""),42751.70761926109)</f>
        <v>42751.70762</v>
      </c>
      <c r="C3230" s="1" t="str">
        <f>IFERROR(__xludf.DUMMYFUNCTION("""COMPUTED_VALUE"""),"treatment")</f>
        <v>treatment</v>
      </c>
      <c r="D3230" s="1" t="str">
        <f>IFERROR(__xludf.DUMMYFUNCTION("""COMPUTED_VALUE"""),"new_page")</f>
        <v>new_page</v>
      </c>
      <c r="E3230" s="1">
        <f>IFERROR(__xludf.DUMMYFUNCTION("""COMPUTED_VALUE"""),0.0)</f>
        <v>0</v>
      </c>
    </row>
    <row r="3231">
      <c r="A3231" s="1">
        <f>IFERROR(__xludf.DUMMYFUNCTION("""COMPUTED_VALUE"""),738273.0)</f>
        <v>738273</v>
      </c>
      <c r="B3231" s="2">
        <f>IFERROR(__xludf.DUMMYFUNCTION("""COMPUTED_VALUE"""),42759.28164020343)</f>
        <v>42759.28164</v>
      </c>
      <c r="C3231" s="1" t="str">
        <f>IFERROR(__xludf.DUMMYFUNCTION("""COMPUTED_VALUE"""),"control")</f>
        <v>control</v>
      </c>
      <c r="D3231" s="1" t="str">
        <f>IFERROR(__xludf.DUMMYFUNCTION("""COMPUTED_VALUE"""),"old_page")</f>
        <v>old_page</v>
      </c>
      <c r="E3231" s="1">
        <f>IFERROR(__xludf.DUMMYFUNCTION("""COMPUTED_VALUE"""),0.0)</f>
        <v>0</v>
      </c>
    </row>
    <row r="3232">
      <c r="A3232" s="1">
        <f>IFERROR(__xludf.DUMMYFUNCTION("""COMPUTED_VALUE"""),745074.0)</f>
        <v>745074</v>
      </c>
      <c r="B3232" s="2">
        <f>IFERROR(__xludf.DUMMYFUNCTION("""COMPUTED_VALUE"""),42746.554151839446)</f>
        <v>42746.55415</v>
      </c>
      <c r="C3232" s="1" t="str">
        <f>IFERROR(__xludf.DUMMYFUNCTION("""COMPUTED_VALUE"""),"control")</f>
        <v>control</v>
      </c>
      <c r="D3232" s="1" t="str">
        <f>IFERROR(__xludf.DUMMYFUNCTION("""COMPUTED_VALUE"""),"old_page")</f>
        <v>old_page</v>
      </c>
      <c r="E3232" s="1">
        <f>IFERROR(__xludf.DUMMYFUNCTION("""COMPUTED_VALUE"""),0.0)</f>
        <v>0</v>
      </c>
    </row>
    <row r="3233">
      <c r="A3233" s="1">
        <f>IFERROR(__xludf.DUMMYFUNCTION("""COMPUTED_VALUE"""),842034.0)</f>
        <v>842034</v>
      </c>
      <c r="B3233" s="2">
        <f>IFERROR(__xludf.DUMMYFUNCTION("""COMPUTED_VALUE"""),42743.91648120954)</f>
        <v>42743.91648</v>
      </c>
      <c r="C3233" s="1" t="str">
        <f>IFERROR(__xludf.DUMMYFUNCTION("""COMPUTED_VALUE"""),"treatment")</f>
        <v>treatment</v>
      </c>
      <c r="D3233" s="1" t="str">
        <f>IFERROR(__xludf.DUMMYFUNCTION("""COMPUTED_VALUE"""),"new_page")</f>
        <v>new_page</v>
      </c>
      <c r="E3233" s="1">
        <f>IFERROR(__xludf.DUMMYFUNCTION("""COMPUTED_VALUE"""),0.0)</f>
        <v>0</v>
      </c>
    </row>
    <row r="3234">
      <c r="A3234" s="1">
        <f>IFERROR(__xludf.DUMMYFUNCTION("""COMPUTED_VALUE"""),903081.0)</f>
        <v>903081</v>
      </c>
      <c r="B3234" s="2">
        <f>IFERROR(__xludf.DUMMYFUNCTION("""COMPUTED_VALUE"""),42751.406437991296)</f>
        <v>42751.40644</v>
      </c>
      <c r="C3234" s="1" t="str">
        <f>IFERROR(__xludf.DUMMYFUNCTION("""COMPUTED_VALUE"""),"treatment")</f>
        <v>treatment</v>
      </c>
      <c r="D3234" s="1" t="str">
        <f>IFERROR(__xludf.DUMMYFUNCTION("""COMPUTED_VALUE"""),"new_page")</f>
        <v>new_page</v>
      </c>
      <c r="E3234" s="1">
        <f>IFERROR(__xludf.DUMMYFUNCTION("""COMPUTED_VALUE"""),0.0)</f>
        <v>0</v>
      </c>
    </row>
    <row r="3235">
      <c r="A3235" s="1">
        <f>IFERROR(__xludf.DUMMYFUNCTION("""COMPUTED_VALUE"""),863024.0)</f>
        <v>863024</v>
      </c>
      <c r="B3235" s="2">
        <f>IFERROR(__xludf.DUMMYFUNCTION("""COMPUTED_VALUE"""),42757.36597270663)</f>
        <v>42757.36597</v>
      </c>
      <c r="C3235" s="1" t="str">
        <f>IFERROR(__xludf.DUMMYFUNCTION("""COMPUTED_VALUE"""),"control")</f>
        <v>control</v>
      </c>
      <c r="D3235" s="1" t="str">
        <f>IFERROR(__xludf.DUMMYFUNCTION("""COMPUTED_VALUE"""),"old_page")</f>
        <v>old_page</v>
      </c>
      <c r="E3235" s="1">
        <f>IFERROR(__xludf.DUMMYFUNCTION("""COMPUTED_VALUE"""),0.0)</f>
        <v>0</v>
      </c>
    </row>
    <row r="3236">
      <c r="A3236" s="1">
        <f>IFERROR(__xludf.DUMMYFUNCTION("""COMPUTED_VALUE"""),830242.0)</f>
        <v>830242</v>
      </c>
      <c r="B3236" s="2">
        <f>IFERROR(__xludf.DUMMYFUNCTION("""COMPUTED_VALUE"""),42741.805384690626)</f>
        <v>42741.80538</v>
      </c>
      <c r="C3236" s="1" t="str">
        <f>IFERROR(__xludf.DUMMYFUNCTION("""COMPUTED_VALUE"""),"treatment")</f>
        <v>treatment</v>
      </c>
      <c r="D3236" s="1" t="str">
        <f>IFERROR(__xludf.DUMMYFUNCTION("""COMPUTED_VALUE"""),"new_page")</f>
        <v>new_page</v>
      </c>
      <c r="E3236" s="1">
        <f>IFERROR(__xludf.DUMMYFUNCTION("""COMPUTED_VALUE"""),1.0)</f>
        <v>1</v>
      </c>
    </row>
    <row r="3237">
      <c r="A3237" s="1">
        <f>IFERROR(__xludf.DUMMYFUNCTION("""COMPUTED_VALUE"""),741996.0)</f>
        <v>741996</v>
      </c>
      <c r="B3237" s="2">
        <f>IFERROR(__xludf.DUMMYFUNCTION("""COMPUTED_VALUE"""),42751.385297654895)</f>
        <v>42751.3853</v>
      </c>
      <c r="C3237" s="1" t="str">
        <f>IFERROR(__xludf.DUMMYFUNCTION("""COMPUTED_VALUE"""),"control")</f>
        <v>control</v>
      </c>
      <c r="D3237" s="1" t="str">
        <f>IFERROR(__xludf.DUMMYFUNCTION("""COMPUTED_VALUE"""),"old_page")</f>
        <v>old_page</v>
      </c>
      <c r="E3237" s="1">
        <f>IFERROR(__xludf.DUMMYFUNCTION("""COMPUTED_VALUE"""),0.0)</f>
        <v>0</v>
      </c>
    </row>
    <row r="3238">
      <c r="A3238" s="1">
        <f>IFERROR(__xludf.DUMMYFUNCTION("""COMPUTED_VALUE"""),714432.0)</f>
        <v>714432</v>
      </c>
      <c r="B3238" s="2">
        <f>IFERROR(__xludf.DUMMYFUNCTION("""COMPUTED_VALUE"""),42759.31787263236)</f>
        <v>42759.31787</v>
      </c>
      <c r="C3238" s="1" t="str">
        <f>IFERROR(__xludf.DUMMYFUNCTION("""COMPUTED_VALUE"""),"control")</f>
        <v>control</v>
      </c>
      <c r="D3238" s="1" t="str">
        <f>IFERROR(__xludf.DUMMYFUNCTION("""COMPUTED_VALUE"""),"old_page")</f>
        <v>old_page</v>
      </c>
      <c r="E3238" s="1">
        <f>IFERROR(__xludf.DUMMYFUNCTION("""COMPUTED_VALUE"""),0.0)</f>
        <v>0</v>
      </c>
    </row>
    <row r="3239">
      <c r="A3239" s="1">
        <f>IFERROR(__xludf.DUMMYFUNCTION("""COMPUTED_VALUE"""),853272.0)</f>
        <v>853272</v>
      </c>
      <c r="B3239" s="2">
        <f>IFERROR(__xludf.DUMMYFUNCTION("""COMPUTED_VALUE"""),42749.26256243176)</f>
        <v>42749.26256</v>
      </c>
      <c r="C3239" s="1" t="str">
        <f>IFERROR(__xludf.DUMMYFUNCTION("""COMPUTED_VALUE"""),"treatment")</f>
        <v>treatment</v>
      </c>
      <c r="D3239" s="1" t="str">
        <f>IFERROR(__xludf.DUMMYFUNCTION("""COMPUTED_VALUE"""),"new_page")</f>
        <v>new_page</v>
      </c>
      <c r="E3239" s="1">
        <f>IFERROR(__xludf.DUMMYFUNCTION("""COMPUTED_VALUE"""),0.0)</f>
        <v>0</v>
      </c>
    </row>
    <row r="3240">
      <c r="A3240" s="1">
        <f>IFERROR(__xludf.DUMMYFUNCTION("""COMPUTED_VALUE"""),728167.0)</f>
        <v>728167</v>
      </c>
      <c r="B3240" s="2">
        <f>IFERROR(__xludf.DUMMYFUNCTION("""COMPUTED_VALUE"""),42749.60837455484)</f>
        <v>42749.60837</v>
      </c>
      <c r="C3240" s="1" t="str">
        <f>IFERROR(__xludf.DUMMYFUNCTION("""COMPUTED_VALUE"""),"control")</f>
        <v>control</v>
      </c>
      <c r="D3240" s="1" t="str">
        <f>IFERROR(__xludf.DUMMYFUNCTION("""COMPUTED_VALUE"""),"old_page")</f>
        <v>old_page</v>
      </c>
      <c r="E3240" s="1">
        <f>IFERROR(__xludf.DUMMYFUNCTION("""COMPUTED_VALUE"""),0.0)</f>
        <v>0</v>
      </c>
    </row>
    <row r="3241">
      <c r="A3241" s="1">
        <f>IFERROR(__xludf.DUMMYFUNCTION("""COMPUTED_VALUE"""),803611.0)</f>
        <v>803611</v>
      </c>
      <c r="B3241" s="2">
        <f>IFERROR(__xludf.DUMMYFUNCTION("""COMPUTED_VALUE"""),42759.203226661644)</f>
        <v>42759.20323</v>
      </c>
      <c r="C3241" s="1" t="str">
        <f>IFERROR(__xludf.DUMMYFUNCTION("""COMPUTED_VALUE"""),"control")</f>
        <v>control</v>
      </c>
      <c r="D3241" s="1" t="str">
        <f>IFERROR(__xludf.DUMMYFUNCTION("""COMPUTED_VALUE"""),"old_page")</f>
        <v>old_page</v>
      </c>
      <c r="E3241" s="1">
        <f>IFERROR(__xludf.DUMMYFUNCTION("""COMPUTED_VALUE"""),1.0)</f>
        <v>1</v>
      </c>
    </row>
    <row r="3242">
      <c r="A3242" s="1">
        <f>IFERROR(__xludf.DUMMYFUNCTION("""COMPUTED_VALUE"""),903270.0)</f>
        <v>903270</v>
      </c>
      <c r="B3242" s="2">
        <f>IFERROR(__xludf.DUMMYFUNCTION("""COMPUTED_VALUE"""),42750.791189621705)</f>
        <v>42750.79119</v>
      </c>
      <c r="C3242" s="1" t="str">
        <f>IFERROR(__xludf.DUMMYFUNCTION("""COMPUTED_VALUE"""),"control")</f>
        <v>control</v>
      </c>
      <c r="D3242" s="1" t="str">
        <f>IFERROR(__xludf.DUMMYFUNCTION("""COMPUTED_VALUE"""),"old_page")</f>
        <v>old_page</v>
      </c>
      <c r="E3242" s="1">
        <f>IFERROR(__xludf.DUMMYFUNCTION("""COMPUTED_VALUE"""),0.0)</f>
        <v>0</v>
      </c>
    </row>
    <row r="3243">
      <c r="A3243" s="1">
        <f>IFERROR(__xludf.DUMMYFUNCTION("""COMPUTED_VALUE"""),825714.0)</f>
        <v>825714</v>
      </c>
      <c r="B3243" s="2">
        <f>IFERROR(__xludf.DUMMYFUNCTION("""COMPUTED_VALUE"""),42745.32611822776)</f>
        <v>42745.32612</v>
      </c>
      <c r="C3243" s="1" t="str">
        <f>IFERROR(__xludf.DUMMYFUNCTION("""COMPUTED_VALUE"""),"treatment")</f>
        <v>treatment</v>
      </c>
      <c r="D3243" s="1" t="str">
        <f>IFERROR(__xludf.DUMMYFUNCTION("""COMPUTED_VALUE"""),"new_page")</f>
        <v>new_page</v>
      </c>
      <c r="E3243" s="1">
        <f>IFERROR(__xludf.DUMMYFUNCTION("""COMPUTED_VALUE"""),0.0)</f>
        <v>0</v>
      </c>
    </row>
    <row r="3244">
      <c r="A3244" s="1">
        <f>IFERROR(__xludf.DUMMYFUNCTION("""COMPUTED_VALUE"""),853354.0)</f>
        <v>853354</v>
      </c>
      <c r="B3244" s="2">
        <f>IFERROR(__xludf.DUMMYFUNCTION("""COMPUTED_VALUE"""),42738.18884384189)</f>
        <v>42738.18884</v>
      </c>
      <c r="C3244" s="1" t="str">
        <f>IFERROR(__xludf.DUMMYFUNCTION("""COMPUTED_VALUE"""),"treatment")</f>
        <v>treatment</v>
      </c>
      <c r="D3244" s="1" t="str">
        <f>IFERROR(__xludf.DUMMYFUNCTION("""COMPUTED_VALUE"""),"new_page")</f>
        <v>new_page</v>
      </c>
      <c r="E3244" s="1">
        <f>IFERROR(__xludf.DUMMYFUNCTION("""COMPUTED_VALUE"""),0.0)</f>
        <v>0</v>
      </c>
    </row>
    <row r="3245">
      <c r="A3245" s="1">
        <f>IFERROR(__xludf.DUMMYFUNCTION("""COMPUTED_VALUE"""),684450.0)</f>
        <v>684450</v>
      </c>
      <c r="B3245" s="2">
        <f>IFERROR(__xludf.DUMMYFUNCTION("""COMPUTED_VALUE"""),42743.67761529654)</f>
        <v>42743.67762</v>
      </c>
      <c r="C3245" s="1" t="str">
        <f>IFERROR(__xludf.DUMMYFUNCTION("""COMPUTED_VALUE"""),"control")</f>
        <v>control</v>
      </c>
      <c r="D3245" s="1" t="str">
        <f>IFERROR(__xludf.DUMMYFUNCTION("""COMPUTED_VALUE"""),"old_page")</f>
        <v>old_page</v>
      </c>
      <c r="E3245" s="1">
        <f>IFERROR(__xludf.DUMMYFUNCTION("""COMPUTED_VALUE"""),0.0)</f>
        <v>0</v>
      </c>
    </row>
    <row r="3246">
      <c r="A3246" s="1">
        <f>IFERROR(__xludf.DUMMYFUNCTION("""COMPUTED_VALUE"""),650003.0)</f>
        <v>650003</v>
      </c>
      <c r="B3246" s="2">
        <f>IFERROR(__xludf.DUMMYFUNCTION("""COMPUTED_VALUE"""),42757.75623290727)</f>
        <v>42757.75623</v>
      </c>
      <c r="C3246" s="1" t="str">
        <f>IFERROR(__xludf.DUMMYFUNCTION("""COMPUTED_VALUE"""),"control")</f>
        <v>control</v>
      </c>
      <c r="D3246" s="1" t="str">
        <f>IFERROR(__xludf.DUMMYFUNCTION("""COMPUTED_VALUE"""),"old_page")</f>
        <v>old_page</v>
      </c>
      <c r="E3246" s="1">
        <f>IFERROR(__xludf.DUMMYFUNCTION("""COMPUTED_VALUE"""),0.0)</f>
        <v>0</v>
      </c>
    </row>
    <row r="3247">
      <c r="A3247" s="1">
        <f>IFERROR(__xludf.DUMMYFUNCTION("""COMPUTED_VALUE"""),884370.0)</f>
        <v>884370</v>
      </c>
      <c r="B3247" s="2">
        <f>IFERROR(__xludf.DUMMYFUNCTION("""COMPUTED_VALUE"""),42738.81356536342)</f>
        <v>42738.81357</v>
      </c>
      <c r="C3247" s="1" t="str">
        <f>IFERROR(__xludf.DUMMYFUNCTION("""COMPUTED_VALUE"""),"treatment")</f>
        <v>treatment</v>
      </c>
      <c r="D3247" s="1" t="str">
        <f>IFERROR(__xludf.DUMMYFUNCTION("""COMPUTED_VALUE"""),"new_page")</f>
        <v>new_page</v>
      </c>
      <c r="E3247" s="1">
        <f>IFERROR(__xludf.DUMMYFUNCTION("""COMPUTED_VALUE"""),0.0)</f>
        <v>0</v>
      </c>
    </row>
    <row r="3248">
      <c r="A3248" s="1">
        <f>IFERROR(__xludf.DUMMYFUNCTION("""COMPUTED_VALUE"""),700750.0)</f>
        <v>700750</v>
      </c>
      <c r="B3248" s="2">
        <f>IFERROR(__xludf.DUMMYFUNCTION("""COMPUTED_VALUE"""),42745.5646424878)</f>
        <v>42745.56464</v>
      </c>
      <c r="C3248" s="1" t="str">
        <f>IFERROR(__xludf.DUMMYFUNCTION("""COMPUTED_VALUE"""),"control")</f>
        <v>control</v>
      </c>
      <c r="D3248" s="1" t="str">
        <f>IFERROR(__xludf.DUMMYFUNCTION("""COMPUTED_VALUE"""),"old_page")</f>
        <v>old_page</v>
      </c>
      <c r="E3248" s="1">
        <f>IFERROR(__xludf.DUMMYFUNCTION("""COMPUTED_VALUE"""),0.0)</f>
        <v>0</v>
      </c>
    </row>
    <row r="3249">
      <c r="A3249" s="1">
        <f>IFERROR(__xludf.DUMMYFUNCTION("""COMPUTED_VALUE"""),909224.0)</f>
        <v>909224</v>
      </c>
      <c r="B3249" s="2">
        <f>IFERROR(__xludf.DUMMYFUNCTION("""COMPUTED_VALUE"""),42738.26848156165)</f>
        <v>42738.26848</v>
      </c>
      <c r="C3249" s="1" t="str">
        <f>IFERROR(__xludf.DUMMYFUNCTION("""COMPUTED_VALUE"""),"control")</f>
        <v>control</v>
      </c>
      <c r="D3249" s="1" t="str">
        <f>IFERROR(__xludf.DUMMYFUNCTION("""COMPUTED_VALUE"""),"old_page")</f>
        <v>old_page</v>
      </c>
      <c r="E3249" s="1">
        <f>IFERROR(__xludf.DUMMYFUNCTION("""COMPUTED_VALUE"""),0.0)</f>
        <v>0</v>
      </c>
    </row>
    <row r="3250">
      <c r="A3250" s="1">
        <f>IFERROR(__xludf.DUMMYFUNCTION("""COMPUTED_VALUE"""),823474.0)</f>
        <v>823474</v>
      </c>
      <c r="B3250" s="2">
        <f>IFERROR(__xludf.DUMMYFUNCTION("""COMPUTED_VALUE"""),42740.01680303506)</f>
        <v>42740.0168</v>
      </c>
      <c r="C3250" s="1" t="str">
        <f>IFERROR(__xludf.DUMMYFUNCTION("""COMPUTED_VALUE"""),"control")</f>
        <v>control</v>
      </c>
      <c r="D3250" s="1" t="str">
        <f>IFERROR(__xludf.DUMMYFUNCTION("""COMPUTED_VALUE"""),"old_page")</f>
        <v>old_page</v>
      </c>
      <c r="E3250" s="1">
        <f>IFERROR(__xludf.DUMMYFUNCTION("""COMPUTED_VALUE"""),0.0)</f>
        <v>0</v>
      </c>
    </row>
    <row r="3251">
      <c r="A3251" s="1">
        <f>IFERROR(__xludf.DUMMYFUNCTION("""COMPUTED_VALUE"""),944140.0)</f>
        <v>944140</v>
      </c>
      <c r="B3251" s="2">
        <f>IFERROR(__xludf.DUMMYFUNCTION("""COMPUTED_VALUE"""),42744.826394555195)</f>
        <v>42744.82639</v>
      </c>
      <c r="C3251" s="1" t="str">
        <f>IFERROR(__xludf.DUMMYFUNCTION("""COMPUTED_VALUE"""),"treatment")</f>
        <v>treatment</v>
      </c>
      <c r="D3251" s="1" t="str">
        <f>IFERROR(__xludf.DUMMYFUNCTION("""COMPUTED_VALUE"""),"new_page")</f>
        <v>new_page</v>
      </c>
      <c r="E3251" s="1">
        <f>IFERROR(__xludf.DUMMYFUNCTION("""COMPUTED_VALUE"""),0.0)</f>
        <v>0</v>
      </c>
    </row>
    <row r="3252">
      <c r="A3252" s="1">
        <f>IFERROR(__xludf.DUMMYFUNCTION("""COMPUTED_VALUE"""),744415.0)</f>
        <v>744415</v>
      </c>
      <c r="B3252" s="2">
        <f>IFERROR(__xludf.DUMMYFUNCTION("""COMPUTED_VALUE"""),42739.71319542124)</f>
        <v>42739.7132</v>
      </c>
      <c r="C3252" s="1" t="str">
        <f>IFERROR(__xludf.DUMMYFUNCTION("""COMPUTED_VALUE"""),"control")</f>
        <v>control</v>
      </c>
      <c r="D3252" s="1" t="str">
        <f>IFERROR(__xludf.DUMMYFUNCTION("""COMPUTED_VALUE"""),"old_page")</f>
        <v>old_page</v>
      </c>
      <c r="E3252" s="1">
        <f>IFERROR(__xludf.DUMMYFUNCTION("""COMPUTED_VALUE"""),0.0)</f>
        <v>0</v>
      </c>
    </row>
    <row r="3253">
      <c r="A3253" s="1">
        <f>IFERROR(__xludf.DUMMYFUNCTION("""COMPUTED_VALUE"""),789562.0)</f>
        <v>789562</v>
      </c>
      <c r="B3253" s="2">
        <f>IFERROR(__xludf.DUMMYFUNCTION("""COMPUTED_VALUE"""),42753.854894628865)</f>
        <v>42753.85489</v>
      </c>
      <c r="C3253" s="1" t="str">
        <f>IFERROR(__xludf.DUMMYFUNCTION("""COMPUTED_VALUE"""),"control")</f>
        <v>control</v>
      </c>
      <c r="D3253" s="1" t="str">
        <f>IFERROR(__xludf.DUMMYFUNCTION("""COMPUTED_VALUE"""),"old_page")</f>
        <v>old_page</v>
      </c>
      <c r="E3253" s="1">
        <f>IFERROR(__xludf.DUMMYFUNCTION("""COMPUTED_VALUE"""),0.0)</f>
        <v>0</v>
      </c>
    </row>
    <row r="3254">
      <c r="A3254" s="1">
        <f>IFERROR(__xludf.DUMMYFUNCTION("""COMPUTED_VALUE"""),664126.0)</f>
        <v>664126</v>
      </c>
      <c r="B3254" s="2">
        <f>IFERROR(__xludf.DUMMYFUNCTION("""COMPUTED_VALUE"""),42755.97959396762)</f>
        <v>42755.97959</v>
      </c>
      <c r="C3254" s="1" t="str">
        <f>IFERROR(__xludf.DUMMYFUNCTION("""COMPUTED_VALUE"""),"control")</f>
        <v>control</v>
      </c>
      <c r="D3254" s="1" t="str">
        <f>IFERROR(__xludf.DUMMYFUNCTION("""COMPUTED_VALUE"""),"old_page")</f>
        <v>old_page</v>
      </c>
      <c r="E3254" s="1">
        <f>IFERROR(__xludf.DUMMYFUNCTION("""COMPUTED_VALUE"""),0.0)</f>
        <v>0</v>
      </c>
    </row>
    <row r="3255">
      <c r="A3255" s="1">
        <f>IFERROR(__xludf.DUMMYFUNCTION("""COMPUTED_VALUE"""),746365.0)</f>
        <v>746365</v>
      </c>
      <c r="B3255" s="2">
        <f>IFERROR(__xludf.DUMMYFUNCTION("""COMPUTED_VALUE"""),42755.23330559876)</f>
        <v>42755.23331</v>
      </c>
      <c r="C3255" s="1" t="str">
        <f>IFERROR(__xludf.DUMMYFUNCTION("""COMPUTED_VALUE"""),"control")</f>
        <v>control</v>
      </c>
      <c r="D3255" s="1" t="str">
        <f>IFERROR(__xludf.DUMMYFUNCTION("""COMPUTED_VALUE"""),"old_page")</f>
        <v>old_page</v>
      </c>
      <c r="E3255" s="1">
        <f>IFERROR(__xludf.DUMMYFUNCTION("""COMPUTED_VALUE"""),0.0)</f>
        <v>0</v>
      </c>
    </row>
    <row r="3256">
      <c r="A3256" s="1">
        <f>IFERROR(__xludf.DUMMYFUNCTION("""COMPUTED_VALUE"""),717548.0)</f>
        <v>717548</v>
      </c>
      <c r="B3256" s="2">
        <f>IFERROR(__xludf.DUMMYFUNCTION("""COMPUTED_VALUE"""),42758.98783035029)</f>
        <v>42758.98783</v>
      </c>
      <c r="C3256" s="1" t="str">
        <f>IFERROR(__xludf.DUMMYFUNCTION("""COMPUTED_VALUE"""),"treatment")</f>
        <v>treatment</v>
      </c>
      <c r="D3256" s="1" t="str">
        <f>IFERROR(__xludf.DUMMYFUNCTION("""COMPUTED_VALUE"""),"new_page")</f>
        <v>new_page</v>
      </c>
      <c r="E3256" s="1">
        <f>IFERROR(__xludf.DUMMYFUNCTION("""COMPUTED_VALUE"""),0.0)</f>
        <v>0</v>
      </c>
    </row>
    <row r="3257">
      <c r="A3257" s="1">
        <f>IFERROR(__xludf.DUMMYFUNCTION("""COMPUTED_VALUE"""),737607.0)</f>
        <v>737607</v>
      </c>
      <c r="B3257" s="2">
        <f>IFERROR(__xludf.DUMMYFUNCTION("""COMPUTED_VALUE"""),42750.27386694819)</f>
        <v>42750.27387</v>
      </c>
      <c r="C3257" s="1" t="str">
        <f>IFERROR(__xludf.DUMMYFUNCTION("""COMPUTED_VALUE"""),"control")</f>
        <v>control</v>
      </c>
      <c r="D3257" s="1" t="str">
        <f>IFERROR(__xludf.DUMMYFUNCTION("""COMPUTED_VALUE"""),"old_page")</f>
        <v>old_page</v>
      </c>
      <c r="E3257" s="1">
        <f>IFERROR(__xludf.DUMMYFUNCTION("""COMPUTED_VALUE"""),0.0)</f>
        <v>0</v>
      </c>
    </row>
    <row r="3258">
      <c r="A3258" s="1">
        <f>IFERROR(__xludf.DUMMYFUNCTION("""COMPUTED_VALUE"""),930249.0)</f>
        <v>930249</v>
      </c>
      <c r="B3258" s="2">
        <f>IFERROR(__xludf.DUMMYFUNCTION("""COMPUTED_VALUE"""),42755.93144915865)</f>
        <v>42755.93145</v>
      </c>
      <c r="C3258" s="1" t="str">
        <f>IFERROR(__xludf.DUMMYFUNCTION("""COMPUTED_VALUE"""),"control")</f>
        <v>control</v>
      </c>
      <c r="D3258" s="1" t="str">
        <f>IFERROR(__xludf.DUMMYFUNCTION("""COMPUTED_VALUE"""),"old_page")</f>
        <v>old_page</v>
      </c>
      <c r="E3258" s="1">
        <f>IFERROR(__xludf.DUMMYFUNCTION("""COMPUTED_VALUE"""),0.0)</f>
        <v>0</v>
      </c>
    </row>
    <row r="3259">
      <c r="A3259" s="1">
        <f>IFERROR(__xludf.DUMMYFUNCTION("""COMPUTED_VALUE"""),713079.0)</f>
        <v>713079</v>
      </c>
      <c r="B3259" s="2">
        <f>IFERROR(__xludf.DUMMYFUNCTION("""COMPUTED_VALUE"""),42744.57169748053)</f>
        <v>42744.5717</v>
      </c>
      <c r="C3259" s="1" t="str">
        <f>IFERROR(__xludf.DUMMYFUNCTION("""COMPUTED_VALUE"""),"control")</f>
        <v>control</v>
      </c>
      <c r="D3259" s="1" t="str">
        <f>IFERROR(__xludf.DUMMYFUNCTION("""COMPUTED_VALUE"""),"old_page")</f>
        <v>old_page</v>
      </c>
      <c r="E3259" s="1">
        <f>IFERROR(__xludf.DUMMYFUNCTION("""COMPUTED_VALUE"""),0.0)</f>
        <v>0</v>
      </c>
    </row>
    <row r="3260">
      <c r="A3260" s="1">
        <f>IFERROR(__xludf.DUMMYFUNCTION("""COMPUTED_VALUE"""),772631.0)</f>
        <v>772631</v>
      </c>
      <c r="B3260" s="2">
        <f>IFERROR(__xludf.DUMMYFUNCTION("""COMPUTED_VALUE"""),42752.96607778524)</f>
        <v>42752.96608</v>
      </c>
      <c r="C3260" s="1" t="str">
        <f>IFERROR(__xludf.DUMMYFUNCTION("""COMPUTED_VALUE"""),"treatment")</f>
        <v>treatment</v>
      </c>
      <c r="D3260" s="1" t="str">
        <f>IFERROR(__xludf.DUMMYFUNCTION("""COMPUTED_VALUE"""),"new_page")</f>
        <v>new_page</v>
      </c>
      <c r="E3260" s="1">
        <f>IFERROR(__xludf.DUMMYFUNCTION("""COMPUTED_VALUE"""),0.0)</f>
        <v>0</v>
      </c>
    </row>
    <row r="3261">
      <c r="A3261" s="1">
        <f>IFERROR(__xludf.DUMMYFUNCTION("""COMPUTED_VALUE"""),648532.0)</f>
        <v>648532</v>
      </c>
      <c r="B3261" s="2">
        <f>IFERROR(__xludf.DUMMYFUNCTION("""COMPUTED_VALUE"""),42755.68469828276)</f>
        <v>42755.6847</v>
      </c>
      <c r="C3261" s="1" t="str">
        <f>IFERROR(__xludf.DUMMYFUNCTION("""COMPUTED_VALUE"""),"control")</f>
        <v>control</v>
      </c>
      <c r="D3261" s="1" t="str">
        <f>IFERROR(__xludf.DUMMYFUNCTION("""COMPUTED_VALUE"""),"old_page")</f>
        <v>old_page</v>
      </c>
      <c r="E3261" s="1">
        <f>IFERROR(__xludf.DUMMYFUNCTION("""COMPUTED_VALUE"""),0.0)</f>
        <v>0</v>
      </c>
    </row>
    <row r="3262">
      <c r="A3262" s="1">
        <f>IFERROR(__xludf.DUMMYFUNCTION("""COMPUTED_VALUE"""),697022.0)</f>
        <v>697022</v>
      </c>
      <c r="B3262" s="2">
        <f>IFERROR(__xludf.DUMMYFUNCTION("""COMPUTED_VALUE"""),42742.87855122713)</f>
        <v>42742.87855</v>
      </c>
      <c r="C3262" s="1" t="str">
        <f>IFERROR(__xludf.DUMMYFUNCTION("""COMPUTED_VALUE"""),"treatment")</f>
        <v>treatment</v>
      </c>
      <c r="D3262" s="1" t="str">
        <f>IFERROR(__xludf.DUMMYFUNCTION("""COMPUTED_VALUE"""),"new_page")</f>
        <v>new_page</v>
      </c>
      <c r="E3262" s="1">
        <f>IFERROR(__xludf.DUMMYFUNCTION("""COMPUTED_VALUE"""),0.0)</f>
        <v>0</v>
      </c>
    </row>
    <row r="3263">
      <c r="A3263" s="1">
        <f>IFERROR(__xludf.DUMMYFUNCTION("""COMPUTED_VALUE"""),801581.0)</f>
        <v>801581</v>
      </c>
      <c r="B3263" s="2">
        <f>IFERROR(__xludf.DUMMYFUNCTION("""COMPUTED_VALUE"""),42756.209322028066)</f>
        <v>42756.20932</v>
      </c>
      <c r="C3263" s="1" t="str">
        <f>IFERROR(__xludf.DUMMYFUNCTION("""COMPUTED_VALUE"""),"treatment")</f>
        <v>treatment</v>
      </c>
      <c r="D3263" s="1" t="str">
        <f>IFERROR(__xludf.DUMMYFUNCTION("""COMPUTED_VALUE"""),"new_page")</f>
        <v>new_page</v>
      </c>
      <c r="E3263" s="1">
        <f>IFERROR(__xludf.DUMMYFUNCTION("""COMPUTED_VALUE"""),0.0)</f>
        <v>0</v>
      </c>
    </row>
    <row r="3264">
      <c r="A3264" s="1">
        <f>IFERROR(__xludf.DUMMYFUNCTION("""COMPUTED_VALUE"""),710871.0)</f>
        <v>710871</v>
      </c>
      <c r="B3264" s="2">
        <f>IFERROR(__xludf.DUMMYFUNCTION("""COMPUTED_VALUE"""),42750.58240562623)</f>
        <v>42750.58241</v>
      </c>
      <c r="C3264" s="1" t="str">
        <f>IFERROR(__xludf.DUMMYFUNCTION("""COMPUTED_VALUE"""),"treatment")</f>
        <v>treatment</v>
      </c>
      <c r="D3264" s="1" t="str">
        <f>IFERROR(__xludf.DUMMYFUNCTION("""COMPUTED_VALUE"""),"old_page")</f>
        <v>old_page</v>
      </c>
      <c r="E3264" s="1">
        <f>IFERROR(__xludf.DUMMYFUNCTION("""COMPUTED_VALUE"""),0.0)</f>
        <v>0</v>
      </c>
    </row>
    <row r="3265">
      <c r="A3265" s="1">
        <f>IFERROR(__xludf.DUMMYFUNCTION("""COMPUTED_VALUE"""),857351.0)</f>
        <v>857351</v>
      </c>
      <c r="B3265" s="2">
        <f>IFERROR(__xludf.DUMMYFUNCTION("""COMPUTED_VALUE"""),42741.9679667935)</f>
        <v>42741.96797</v>
      </c>
      <c r="C3265" s="1" t="str">
        <f>IFERROR(__xludf.DUMMYFUNCTION("""COMPUTED_VALUE"""),"control")</f>
        <v>control</v>
      </c>
      <c r="D3265" s="1" t="str">
        <f>IFERROR(__xludf.DUMMYFUNCTION("""COMPUTED_VALUE"""),"old_page")</f>
        <v>old_page</v>
      </c>
      <c r="E3265" s="1">
        <f>IFERROR(__xludf.DUMMYFUNCTION("""COMPUTED_VALUE"""),0.0)</f>
        <v>0</v>
      </c>
    </row>
    <row r="3266">
      <c r="A3266" s="1">
        <f>IFERROR(__xludf.DUMMYFUNCTION("""COMPUTED_VALUE"""),921353.0)</f>
        <v>921353</v>
      </c>
      <c r="B3266" s="2">
        <f>IFERROR(__xludf.DUMMYFUNCTION("""COMPUTED_VALUE"""),42747.483429984626)</f>
        <v>42747.48343</v>
      </c>
      <c r="C3266" s="1" t="str">
        <f>IFERROR(__xludf.DUMMYFUNCTION("""COMPUTED_VALUE"""),"treatment")</f>
        <v>treatment</v>
      </c>
      <c r="D3266" s="1" t="str">
        <f>IFERROR(__xludf.DUMMYFUNCTION("""COMPUTED_VALUE"""),"new_page")</f>
        <v>new_page</v>
      </c>
      <c r="E3266" s="1">
        <f>IFERROR(__xludf.DUMMYFUNCTION("""COMPUTED_VALUE"""),0.0)</f>
        <v>0</v>
      </c>
    </row>
    <row r="3267">
      <c r="A3267" s="1">
        <f>IFERROR(__xludf.DUMMYFUNCTION("""COMPUTED_VALUE"""),680651.0)</f>
        <v>680651</v>
      </c>
      <c r="B3267" s="2">
        <f>IFERROR(__xludf.DUMMYFUNCTION("""COMPUTED_VALUE"""),42758.36605801227)</f>
        <v>42758.36606</v>
      </c>
      <c r="C3267" s="1" t="str">
        <f>IFERROR(__xludf.DUMMYFUNCTION("""COMPUTED_VALUE"""),"control")</f>
        <v>control</v>
      </c>
      <c r="D3267" s="1" t="str">
        <f>IFERROR(__xludf.DUMMYFUNCTION("""COMPUTED_VALUE"""),"old_page")</f>
        <v>old_page</v>
      </c>
      <c r="E3267" s="1">
        <f>IFERROR(__xludf.DUMMYFUNCTION("""COMPUTED_VALUE"""),0.0)</f>
        <v>0</v>
      </c>
    </row>
    <row r="3268">
      <c r="A3268" s="1">
        <f>IFERROR(__xludf.DUMMYFUNCTION("""COMPUTED_VALUE"""),942164.0)</f>
        <v>942164</v>
      </c>
      <c r="B3268" s="2">
        <f>IFERROR(__xludf.DUMMYFUNCTION("""COMPUTED_VALUE"""),42749.314887530425)</f>
        <v>42749.31489</v>
      </c>
      <c r="C3268" s="1" t="str">
        <f>IFERROR(__xludf.DUMMYFUNCTION("""COMPUTED_VALUE"""),"control")</f>
        <v>control</v>
      </c>
      <c r="D3268" s="1" t="str">
        <f>IFERROR(__xludf.DUMMYFUNCTION("""COMPUTED_VALUE"""),"old_page")</f>
        <v>old_page</v>
      </c>
      <c r="E3268" s="1">
        <f>IFERROR(__xludf.DUMMYFUNCTION("""COMPUTED_VALUE"""),0.0)</f>
        <v>0</v>
      </c>
    </row>
    <row r="3269">
      <c r="A3269" s="1">
        <f>IFERROR(__xludf.DUMMYFUNCTION("""COMPUTED_VALUE"""),916147.0)</f>
        <v>916147</v>
      </c>
      <c r="B3269" s="2">
        <f>IFERROR(__xludf.DUMMYFUNCTION("""COMPUTED_VALUE"""),42741.76434539869)</f>
        <v>42741.76435</v>
      </c>
      <c r="C3269" s="1" t="str">
        <f>IFERROR(__xludf.DUMMYFUNCTION("""COMPUTED_VALUE"""),"treatment")</f>
        <v>treatment</v>
      </c>
      <c r="D3269" s="1" t="str">
        <f>IFERROR(__xludf.DUMMYFUNCTION("""COMPUTED_VALUE"""),"new_page")</f>
        <v>new_page</v>
      </c>
      <c r="E3269" s="1">
        <f>IFERROR(__xludf.DUMMYFUNCTION("""COMPUTED_VALUE"""),0.0)</f>
        <v>0</v>
      </c>
    </row>
    <row r="3270">
      <c r="A3270" s="1">
        <f>IFERROR(__xludf.DUMMYFUNCTION("""COMPUTED_VALUE"""),694158.0)</f>
        <v>694158</v>
      </c>
      <c r="B3270" s="2">
        <f>IFERROR(__xludf.DUMMYFUNCTION("""COMPUTED_VALUE"""),42746.810224631365)</f>
        <v>42746.81022</v>
      </c>
      <c r="C3270" s="1" t="str">
        <f>IFERROR(__xludf.DUMMYFUNCTION("""COMPUTED_VALUE"""),"control")</f>
        <v>control</v>
      </c>
      <c r="D3270" s="1" t="str">
        <f>IFERROR(__xludf.DUMMYFUNCTION("""COMPUTED_VALUE"""),"old_page")</f>
        <v>old_page</v>
      </c>
      <c r="E3270" s="1">
        <f>IFERROR(__xludf.DUMMYFUNCTION("""COMPUTED_VALUE"""),0.0)</f>
        <v>0</v>
      </c>
    </row>
    <row r="3271">
      <c r="A3271" s="1">
        <f>IFERROR(__xludf.DUMMYFUNCTION("""COMPUTED_VALUE"""),816982.0)</f>
        <v>816982</v>
      </c>
      <c r="B3271" s="2">
        <f>IFERROR(__xludf.DUMMYFUNCTION("""COMPUTED_VALUE"""),42740.53050731416)</f>
        <v>42740.53051</v>
      </c>
      <c r="C3271" s="1" t="str">
        <f>IFERROR(__xludf.DUMMYFUNCTION("""COMPUTED_VALUE"""),"control")</f>
        <v>control</v>
      </c>
      <c r="D3271" s="1" t="str">
        <f>IFERROR(__xludf.DUMMYFUNCTION("""COMPUTED_VALUE"""),"old_page")</f>
        <v>old_page</v>
      </c>
      <c r="E3271" s="1">
        <f>IFERROR(__xludf.DUMMYFUNCTION("""COMPUTED_VALUE"""),0.0)</f>
        <v>0</v>
      </c>
    </row>
    <row r="3272">
      <c r="A3272" s="1">
        <f>IFERROR(__xludf.DUMMYFUNCTION("""COMPUTED_VALUE"""),816326.0)</f>
        <v>816326</v>
      </c>
      <c r="B3272" s="2">
        <f>IFERROR(__xludf.DUMMYFUNCTION("""COMPUTED_VALUE"""),42753.658339633446)</f>
        <v>42753.65834</v>
      </c>
      <c r="C3272" s="1" t="str">
        <f>IFERROR(__xludf.DUMMYFUNCTION("""COMPUTED_VALUE"""),"control")</f>
        <v>control</v>
      </c>
      <c r="D3272" s="1" t="str">
        <f>IFERROR(__xludf.DUMMYFUNCTION("""COMPUTED_VALUE"""),"old_page")</f>
        <v>old_page</v>
      </c>
      <c r="E3272" s="1">
        <f>IFERROR(__xludf.DUMMYFUNCTION("""COMPUTED_VALUE"""),0.0)</f>
        <v>0</v>
      </c>
    </row>
    <row r="3273">
      <c r="A3273" s="1">
        <f>IFERROR(__xludf.DUMMYFUNCTION("""COMPUTED_VALUE"""),700373.0)</f>
        <v>700373</v>
      </c>
      <c r="B3273" s="2">
        <f>IFERROR(__xludf.DUMMYFUNCTION("""COMPUTED_VALUE"""),42750.10704316145)</f>
        <v>42750.10704</v>
      </c>
      <c r="C3273" s="1" t="str">
        <f>IFERROR(__xludf.DUMMYFUNCTION("""COMPUTED_VALUE"""),"control")</f>
        <v>control</v>
      </c>
      <c r="D3273" s="1" t="str">
        <f>IFERROR(__xludf.DUMMYFUNCTION("""COMPUTED_VALUE"""),"old_page")</f>
        <v>old_page</v>
      </c>
      <c r="E3273" s="1">
        <f>IFERROR(__xludf.DUMMYFUNCTION("""COMPUTED_VALUE"""),0.0)</f>
        <v>0</v>
      </c>
    </row>
    <row r="3274">
      <c r="A3274" s="1">
        <f>IFERROR(__xludf.DUMMYFUNCTION("""COMPUTED_VALUE"""),840815.0)</f>
        <v>840815</v>
      </c>
      <c r="B3274" s="2">
        <f>IFERROR(__xludf.DUMMYFUNCTION("""COMPUTED_VALUE"""),42745.99876414654)</f>
        <v>42745.99876</v>
      </c>
      <c r="C3274" s="1" t="str">
        <f>IFERROR(__xludf.DUMMYFUNCTION("""COMPUTED_VALUE"""),"control")</f>
        <v>control</v>
      </c>
      <c r="D3274" s="1" t="str">
        <f>IFERROR(__xludf.DUMMYFUNCTION("""COMPUTED_VALUE"""),"old_page")</f>
        <v>old_page</v>
      </c>
      <c r="E3274" s="1">
        <f>IFERROR(__xludf.DUMMYFUNCTION("""COMPUTED_VALUE"""),0.0)</f>
        <v>0</v>
      </c>
    </row>
    <row r="3275">
      <c r="A3275" s="1">
        <f>IFERROR(__xludf.DUMMYFUNCTION("""COMPUTED_VALUE"""),892804.0)</f>
        <v>892804</v>
      </c>
      <c r="B3275" s="2">
        <f>IFERROR(__xludf.DUMMYFUNCTION("""COMPUTED_VALUE"""),42743.29210649029)</f>
        <v>42743.29211</v>
      </c>
      <c r="C3275" s="1" t="str">
        <f>IFERROR(__xludf.DUMMYFUNCTION("""COMPUTED_VALUE"""),"control")</f>
        <v>control</v>
      </c>
      <c r="D3275" s="1" t="str">
        <f>IFERROR(__xludf.DUMMYFUNCTION("""COMPUTED_VALUE"""),"old_page")</f>
        <v>old_page</v>
      </c>
      <c r="E3275" s="1">
        <f>IFERROR(__xludf.DUMMYFUNCTION("""COMPUTED_VALUE"""),0.0)</f>
        <v>0</v>
      </c>
    </row>
    <row r="3276">
      <c r="A3276" s="1">
        <f>IFERROR(__xludf.DUMMYFUNCTION("""COMPUTED_VALUE"""),727862.0)</f>
        <v>727862</v>
      </c>
      <c r="B3276" s="2">
        <f>IFERROR(__xludf.DUMMYFUNCTION("""COMPUTED_VALUE"""),42755.8314969228)</f>
        <v>42755.8315</v>
      </c>
      <c r="C3276" s="1" t="str">
        <f>IFERROR(__xludf.DUMMYFUNCTION("""COMPUTED_VALUE"""),"treatment")</f>
        <v>treatment</v>
      </c>
      <c r="D3276" s="1" t="str">
        <f>IFERROR(__xludf.DUMMYFUNCTION("""COMPUTED_VALUE"""),"new_page")</f>
        <v>new_page</v>
      </c>
      <c r="E3276" s="1">
        <f>IFERROR(__xludf.DUMMYFUNCTION("""COMPUTED_VALUE"""),0.0)</f>
        <v>0</v>
      </c>
    </row>
    <row r="3277">
      <c r="A3277" s="1">
        <f>IFERROR(__xludf.DUMMYFUNCTION("""COMPUTED_VALUE"""),686526.0)</f>
        <v>686526</v>
      </c>
      <c r="B3277" s="2">
        <f>IFERROR(__xludf.DUMMYFUNCTION("""COMPUTED_VALUE"""),42742.81489516124)</f>
        <v>42742.8149</v>
      </c>
      <c r="C3277" s="1" t="str">
        <f>IFERROR(__xludf.DUMMYFUNCTION("""COMPUTED_VALUE"""),"treatment")</f>
        <v>treatment</v>
      </c>
      <c r="D3277" s="1" t="str">
        <f>IFERROR(__xludf.DUMMYFUNCTION("""COMPUTED_VALUE"""),"new_page")</f>
        <v>new_page</v>
      </c>
      <c r="E3277" s="1">
        <f>IFERROR(__xludf.DUMMYFUNCTION("""COMPUTED_VALUE"""),0.0)</f>
        <v>0</v>
      </c>
    </row>
    <row r="3278">
      <c r="A3278" s="1">
        <f>IFERROR(__xludf.DUMMYFUNCTION("""COMPUTED_VALUE"""),732420.0)</f>
        <v>732420</v>
      </c>
      <c r="B3278" s="2">
        <f>IFERROR(__xludf.DUMMYFUNCTION("""COMPUTED_VALUE"""),42757.99032473214)</f>
        <v>42757.99032</v>
      </c>
      <c r="C3278" s="1" t="str">
        <f>IFERROR(__xludf.DUMMYFUNCTION("""COMPUTED_VALUE"""),"control")</f>
        <v>control</v>
      </c>
      <c r="D3278" s="1" t="str">
        <f>IFERROR(__xludf.DUMMYFUNCTION("""COMPUTED_VALUE"""),"old_page")</f>
        <v>old_page</v>
      </c>
      <c r="E3278" s="1">
        <f>IFERROR(__xludf.DUMMYFUNCTION("""COMPUTED_VALUE"""),0.0)</f>
        <v>0</v>
      </c>
    </row>
    <row r="3279">
      <c r="A3279" s="1">
        <f>IFERROR(__xludf.DUMMYFUNCTION("""COMPUTED_VALUE"""),682465.0)</f>
        <v>682465</v>
      </c>
      <c r="B3279" s="2">
        <f>IFERROR(__xludf.DUMMYFUNCTION("""COMPUTED_VALUE"""),42756.55900495022)</f>
        <v>42756.559</v>
      </c>
      <c r="C3279" s="1" t="str">
        <f>IFERROR(__xludf.DUMMYFUNCTION("""COMPUTED_VALUE"""),"control")</f>
        <v>control</v>
      </c>
      <c r="D3279" s="1" t="str">
        <f>IFERROR(__xludf.DUMMYFUNCTION("""COMPUTED_VALUE"""),"old_page")</f>
        <v>old_page</v>
      </c>
      <c r="E3279" s="1">
        <f>IFERROR(__xludf.DUMMYFUNCTION("""COMPUTED_VALUE"""),0.0)</f>
        <v>0</v>
      </c>
    </row>
    <row r="3280">
      <c r="A3280" s="1">
        <f>IFERROR(__xludf.DUMMYFUNCTION("""COMPUTED_VALUE"""),854165.0)</f>
        <v>854165</v>
      </c>
      <c r="B3280" s="2">
        <f>IFERROR(__xludf.DUMMYFUNCTION("""COMPUTED_VALUE"""),42751.401408323065)</f>
        <v>42751.40141</v>
      </c>
      <c r="C3280" s="1" t="str">
        <f>IFERROR(__xludf.DUMMYFUNCTION("""COMPUTED_VALUE"""),"treatment")</f>
        <v>treatment</v>
      </c>
      <c r="D3280" s="1" t="str">
        <f>IFERROR(__xludf.DUMMYFUNCTION("""COMPUTED_VALUE"""),"new_page")</f>
        <v>new_page</v>
      </c>
      <c r="E3280" s="1">
        <f>IFERROR(__xludf.DUMMYFUNCTION("""COMPUTED_VALUE"""),0.0)</f>
        <v>0</v>
      </c>
    </row>
    <row r="3281">
      <c r="A3281" s="1">
        <f>IFERROR(__xludf.DUMMYFUNCTION("""COMPUTED_VALUE"""),655984.0)</f>
        <v>655984</v>
      </c>
      <c r="B3281" s="2">
        <f>IFERROR(__xludf.DUMMYFUNCTION("""COMPUTED_VALUE"""),42750.05660270643)</f>
        <v>42750.0566</v>
      </c>
      <c r="C3281" s="1" t="str">
        <f>IFERROR(__xludf.DUMMYFUNCTION("""COMPUTED_VALUE"""),"treatment")</f>
        <v>treatment</v>
      </c>
      <c r="D3281" s="1" t="str">
        <f>IFERROR(__xludf.DUMMYFUNCTION("""COMPUTED_VALUE"""),"new_page")</f>
        <v>new_page</v>
      </c>
      <c r="E3281" s="1">
        <f>IFERROR(__xludf.DUMMYFUNCTION("""COMPUTED_VALUE"""),0.0)</f>
        <v>0</v>
      </c>
    </row>
    <row r="3282">
      <c r="A3282" s="1">
        <f>IFERROR(__xludf.DUMMYFUNCTION("""COMPUTED_VALUE"""),802650.0)</f>
        <v>802650</v>
      </c>
      <c r="B3282" s="2">
        <f>IFERROR(__xludf.DUMMYFUNCTION("""COMPUTED_VALUE"""),42750.78075236486)</f>
        <v>42750.78075</v>
      </c>
      <c r="C3282" s="1" t="str">
        <f>IFERROR(__xludf.DUMMYFUNCTION("""COMPUTED_VALUE"""),"control")</f>
        <v>control</v>
      </c>
      <c r="D3282" s="1" t="str">
        <f>IFERROR(__xludf.DUMMYFUNCTION("""COMPUTED_VALUE"""),"old_page")</f>
        <v>old_page</v>
      </c>
      <c r="E3282" s="1">
        <f>IFERROR(__xludf.DUMMYFUNCTION("""COMPUTED_VALUE"""),0.0)</f>
        <v>0</v>
      </c>
    </row>
    <row r="3283">
      <c r="A3283" s="1">
        <f>IFERROR(__xludf.DUMMYFUNCTION("""COMPUTED_VALUE"""),859761.0)</f>
        <v>859761</v>
      </c>
      <c r="B3283" s="2">
        <f>IFERROR(__xludf.DUMMYFUNCTION("""COMPUTED_VALUE"""),42743.283256070245)</f>
        <v>42743.28326</v>
      </c>
      <c r="C3283" s="1" t="str">
        <f>IFERROR(__xludf.DUMMYFUNCTION("""COMPUTED_VALUE"""),"control")</f>
        <v>control</v>
      </c>
      <c r="D3283" s="1" t="str">
        <f>IFERROR(__xludf.DUMMYFUNCTION("""COMPUTED_VALUE"""),"old_page")</f>
        <v>old_page</v>
      </c>
      <c r="E3283" s="1">
        <f>IFERROR(__xludf.DUMMYFUNCTION("""COMPUTED_VALUE"""),0.0)</f>
        <v>0</v>
      </c>
    </row>
    <row r="3284">
      <c r="A3284" s="1">
        <f>IFERROR(__xludf.DUMMYFUNCTION("""COMPUTED_VALUE"""),834235.0)</f>
        <v>834235</v>
      </c>
      <c r="B3284" s="2">
        <f>IFERROR(__xludf.DUMMYFUNCTION("""COMPUTED_VALUE"""),42742.84517657788)</f>
        <v>42742.84518</v>
      </c>
      <c r="C3284" s="1" t="str">
        <f>IFERROR(__xludf.DUMMYFUNCTION("""COMPUTED_VALUE"""),"control")</f>
        <v>control</v>
      </c>
      <c r="D3284" s="1" t="str">
        <f>IFERROR(__xludf.DUMMYFUNCTION("""COMPUTED_VALUE"""),"old_page")</f>
        <v>old_page</v>
      </c>
      <c r="E3284" s="1">
        <f>IFERROR(__xludf.DUMMYFUNCTION("""COMPUTED_VALUE"""),0.0)</f>
        <v>0</v>
      </c>
    </row>
    <row r="3285">
      <c r="A3285" s="1">
        <f>IFERROR(__xludf.DUMMYFUNCTION("""COMPUTED_VALUE"""),925568.0)</f>
        <v>925568</v>
      </c>
      <c r="B3285" s="2">
        <f>IFERROR(__xludf.DUMMYFUNCTION("""COMPUTED_VALUE"""),42742.581157930406)</f>
        <v>42742.58116</v>
      </c>
      <c r="C3285" s="1" t="str">
        <f>IFERROR(__xludf.DUMMYFUNCTION("""COMPUTED_VALUE"""),"treatment")</f>
        <v>treatment</v>
      </c>
      <c r="D3285" s="1" t="str">
        <f>IFERROR(__xludf.DUMMYFUNCTION("""COMPUTED_VALUE"""),"new_page")</f>
        <v>new_page</v>
      </c>
      <c r="E3285" s="1">
        <f>IFERROR(__xludf.DUMMYFUNCTION("""COMPUTED_VALUE"""),0.0)</f>
        <v>0</v>
      </c>
    </row>
    <row r="3286">
      <c r="A3286" s="1">
        <f>IFERROR(__xludf.DUMMYFUNCTION("""COMPUTED_VALUE"""),723305.0)</f>
        <v>723305</v>
      </c>
      <c r="B3286" s="2">
        <f>IFERROR(__xludf.DUMMYFUNCTION("""COMPUTED_VALUE"""),42743.63398942593)</f>
        <v>42743.63399</v>
      </c>
      <c r="C3286" s="1" t="str">
        <f>IFERROR(__xludf.DUMMYFUNCTION("""COMPUTED_VALUE"""),"treatment")</f>
        <v>treatment</v>
      </c>
      <c r="D3286" s="1" t="str">
        <f>IFERROR(__xludf.DUMMYFUNCTION("""COMPUTED_VALUE"""),"new_page")</f>
        <v>new_page</v>
      </c>
      <c r="E3286" s="1">
        <f>IFERROR(__xludf.DUMMYFUNCTION("""COMPUTED_VALUE"""),1.0)</f>
        <v>1</v>
      </c>
    </row>
    <row r="3287">
      <c r="A3287" s="1">
        <f>IFERROR(__xludf.DUMMYFUNCTION("""COMPUTED_VALUE"""),928801.0)</f>
        <v>928801</v>
      </c>
      <c r="B3287" s="2">
        <f>IFERROR(__xludf.DUMMYFUNCTION("""COMPUTED_VALUE"""),42744.488863943996)</f>
        <v>42744.48886</v>
      </c>
      <c r="C3287" s="1" t="str">
        <f>IFERROR(__xludf.DUMMYFUNCTION("""COMPUTED_VALUE"""),"control")</f>
        <v>control</v>
      </c>
      <c r="D3287" s="1" t="str">
        <f>IFERROR(__xludf.DUMMYFUNCTION("""COMPUTED_VALUE"""),"old_page")</f>
        <v>old_page</v>
      </c>
      <c r="E3287" s="1">
        <f>IFERROR(__xludf.DUMMYFUNCTION("""COMPUTED_VALUE"""),1.0)</f>
        <v>1</v>
      </c>
    </row>
    <row r="3288">
      <c r="A3288" s="1">
        <f>IFERROR(__xludf.DUMMYFUNCTION("""COMPUTED_VALUE"""),796035.0)</f>
        <v>796035</v>
      </c>
      <c r="B3288" s="2">
        <f>IFERROR(__xludf.DUMMYFUNCTION("""COMPUTED_VALUE"""),42742.462108647094)</f>
        <v>42742.46211</v>
      </c>
      <c r="C3288" s="1" t="str">
        <f>IFERROR(__xludf.DUMMYFUNCTION("""COMPUTED_VALUE"""),"treatment")</f>
        <v>treatment</v>
      </c>
      <c r="D3288" s="1" t="str">
        <f>IFERROR(__xludf.DUMMYFUNCTION("""COMPUTED_VALUE"""),"new_page")</f>
        <v>new_page</v>
      </c>
      <c r="E3288" s="1">
        <f>IFERROR(__xludf.DUMMYFUNCTION("""COMPUTED_VALUE"""),0.0)</f>
        <v>0</v>
      </c>
    </row>
    <row r="3289">
      <c r="A3289" s="1">
        <f>IFERROR(__xludf.DUMMYFUNCTION("""COMPUTED_VALUE"""),834517.0)</f>
        <v>834517</v>
      </c>
      <c r="B3289" s="2">
        <f>IFERROR(__xludf.DUMMYFUNCTION("""COMPUTED_VALUE"""),42744.69785859757)</f>
        <v>42744.69786</v>
      </c>
      <c r="C3289" s="1" t="str">
        <f>IFERROR(__xludf.DUMMYFUNCTION("""COMPUTED_VALUE"""),"control")</f>
        <v>control</v>
      </c>
      <c r="D3289" s="1" t="str">
        <f>IFERROR(__xludf.DUMMYFUNCTION("""COMPUTED_VALUE"""),"old_page")</f>
        <v>old_page</v>
      </c>
      <c r="E3289" s="1">
        <f>IFERROR(__xludf.DUMMYFUNCTION("""COMPUTED_VALUE"""),0.0)</f>
        <v>0</v>
      </c>
    </row>
    <row r="3290">
      <c r="A3290" s="1">
        <f>IFERROR(__xludf.DUMMYFUNCTION("""COMPUTED_VALUE"""),707938.0)</f>
        <v>707938</v>
      </c>
      <c r="B3290" s="2">
        <f>IFERROR(__xludf.DUMMYFUNCTION("""COMPUTED_VALUE"""),42740.4010994644)</f>
        <v>42740.4011</v>
      </c>
      <c r="C3290" s="1" t="str">
        <f>IFERROR(__xludf.DUMMYFUNCTION("""COMPUTED_VALUE"""),"control")</f>
        <v>control</v>
      </c>
      <c r="D3290" s="1" t="str">
        <f>IFERROR(__xludf.DUMMYFUNCTION("""COMPUTED_VALUE"""),"old_page")</f>
        <v>old_page</v>
      </c>
      <c r="E3290" s="1">
        <f>IFERROR(__xludf.DUMMYFUNCTION("""COMPUTED_VALUE"""),0.0)</f>
        <v>0</v>
      </c>
    </row>
    <row r="3291">
      <c r="A3291" s="1">
        <f>IFERROR(__xludf.DUMMYFUNCTION("""COMPUTED_VALUE"""),877308.0)</f>
        <v>877308</v>
      </c>
      <c r="B3291" s="2">
        <f>IFERROR(__xludf.DUMMYFUNCTION("""COMPUTED_VALUE"""),42757.95202055139)</f>
        <v>42757.95202</v>
      </c>
      <c r="C3291" s="1" t="str">
        <f>IFERROR(__xludf.DUMMYFUNCTION("""COMPUTED_VALUE"""),"control")</f>
        <v>control</v>
      </c>
      <c r="D3291" s="1" t="str">
        <f>IFERROR(__xludf.DUMMYFUNCTION("""COMPUTED_VALUE"""),"old_page")</f>
        <v>old_page</v>
      </c>
      <c r="E3291" s="1">
        <f>IFERROR(__xludf.DUMMYFUNCTION("""COMPUTED_VALUE"""),0.0)</f>
        <v>0</v>
      </c>
    </row>
    <row r="3292">
      <c r="A3292" s="1">
        <f>IFERROR(__xludf.DUMMYFUNCTION("""COMPUTED_VALUE"""),770538.0)</f>
        <v>770538</v>
      </c>
      <c r="B3292" s="2">
        <f>IFERROR(__xludf.DUMMYFUNCTION("""COMPUTED_VALUE"""),42755.13152349641)</f>
        <v>42755.13152</v>
      </c>
      <c r="C3292" s="1" t="str">
        <f>IFERROR(__xludf.DUMMYFUNCTION("""COMPUTED_VALUE"""),"control")</f>
        <v>control</v>
      </c>
      <c r="D3292" s="1" t="str">
        <f>IFERROR(__xludf.DUMMYFUNCTION("""COMPUTED_VALUE"""),"old_page")</f>
        <v>old_page</v>
      </c>
      <c r="E3292" s="1">
        <f>IFERROR(__xludf.DUMMYFUNCTION("""COMPUTED_VALUE"""),0.0)</f>
        <v>0</v>
      </c>
    </row>
    <row r="3293">
      <c r="A3293" s="1">
        <f>IFERROR(__xludf.DUMMYFUNCTION("""COMPUTED_VALUE"""),935808.0)</f>
        <v>935808</v>
      </c>
      <c r="B3293" s="2">
        <f>IFERROR(__xludf.DUMMYFUNCTION("""COMPUTED_VALUE"""),42749.338994204205)</f>
        <v>42749.33899</v>
      </c>
      <c r="C3293" s="1" t="str">
        <f>IFERROR(__xludf.DUMMYFUNCTION("""COMPUTED_VALUE"""),"control")</f>
        <v>control</v>
      </c>
      <c r="D3293" s="1" t="str">
        <f>IFERROR(__xludf.DUMMYFUNCTION("""COMPUTED_VALUE"""),"old_page")</f>
        <v>old_page</v>
      </c>
      <c r="E3293" s="1">
        <f>IFERROR(__xludf.DUMMYFUNCTION("""COMPUTED_VALUE"""),0.0)</f>
        <v>0</v>
      </c>
    </row>
    <row r="3294">
      <c r="A3294" s="1">
        <f>IFERROR(__xludf.DUMMYFUNCTION("""COMPUTED_VALUE"""),701303.0)</f>
        <v>701303</v>
      </c>
      <c r="B3294" s="2">
        <f>IFERROR(__xludf.DUMMYFUNCTION("""COMPUTED_VALUE"""),42753.63100365051)</f>
        <v>42753.631</v>
      </c>
      <c r="C3294" s="1" t="str">
        <f>IFERROR(__xludf.DUMMYFUNCTION("""COMPUTED_VALUE"""),"control")</f>
        <v>control</v>
      </c>
      <c r="D3294" s="1" t="str">
        <f>IFERROR(__xludf.DUMMYFUNCTION("""COMPUTED_VALUE"""),"old_page")</f>
        <v>old_page</v>
      </c>
      <c r="E3294" s="1">
        <f>IFERROR(__xludf.DUMMYFUNCTION("""COMPUTED_VALUE"""),0.0)</f>
        <v>0</v>
      </c>
    </row>
    <row r="3295">
      <c r="A3295" s="1">
        <f>IFERROR(__xludf.DUMMYFUNCTION("""COMPUTED_VALUE"""),873364.0)</f>
        <v>873364</v>
      </c>
      <c r="B3295" s="2">
        <f>IFERROR(__xludf.DUMMYFUNCTION("""COMPUTED_VALUE"""),42743.00835955679)</f>
        <v>42743.00836</v>
      </c>
      <c r="C3295" s="1" t="str">
        <f>IFERROR(__xludf.DUMMYFUNCTION("""COMPUTED_VALUE"""),"treatment")</f>
        <v>treatment</v>
      </c>
      <c r="D3295" s="1" t="str">
        <f>IFERROR(__xludf.DUMMYFUNCTION("""COMPUTED_VALUE"""),"new_page")</f>
        <v>new_page</v>
      </c>
      <c r="E3295" s="1">
        <f>IFERROR(__xludf.DUMMYFUNCTION("""COMPUTED_VALUE"""),0.0)</f>
        <v>0</v>
      </c>
    </row>
    <row r="3296">
      <c r="A3296" s="1">
        <f>IFERROR(__xludf.DUMMYFUNCTION("""COMPUTED_VALUE"""),801682.0)</f>
        <v>801682</v>
      </c>
      <c r="B3296" s="2">
        <f>IFERROR(__xludf.DUMMYFUNCTION("""COMPUTED_VALUE"""),42747.04271572396)</f>
        <v>42747.04272</v>
      </c>
      <c r="C3296" s="1" t="str">
        <f>IFERROR(__xludf.DUMMYFUNCTION("""COMPUTED_VALUE"""),"treatment")</f>
        <v>treatment</v>
      </c>
      <c r="D3296" s="1" t="str">
        <f>IFERROR(__xludf.DUMMYFUNCTION("""COMPUTED_VALUE"""),"new_page")</f>
        <v>new_page</v>
      </c>
      <c r="E3296" s="1">
        <f>IFERROR(__xludf.DUMMYFUNCTION("""COMPUTED_VALUE"""),0.0)</f>
        <v>0</v>
      </c>
    </row>
    <row r="3297">
      <c r="A3297" s="1">
        <f>IFERROR(__xludf.DUMMYFUNCTION("""COMPUTED_VALUE"""),668809.0)</f>
        <v>668809</v>
      </c>
      <c r="B3297" s="2">
        <f>IFERROR(__xludf.DUMMYFUNCTION("""COMPUTED_VALUE"""),42758.47212894172)</f>
        <v>42758.47213</v>
      </c>
      <c r="C3297" s="1" t="str">
        <f>IFERROR(__xludf.DUMMYFUNCTION("""COMPUTED_VALUE"""),"treatment")</f>
        <v>treatment</v>
      </c>
      <c r="D3297" s="1" t="str">
        <f>IFERROR(__xludf.DUMMYFUNCTION("""COMPUTED_VALUE"""),"new_page")</f>
        <v>new_page</v>
      </c>
      <c r="E3297" s="1">
        <f>IFERROR(__xludf.DUMMYFUNCTION("""COMPUTED_VALUE"""),0.0)</f>
        <v>0</v>
      </c>
    </row>
    <row r="3298">
      <c r="A3298" s="1">
        <f>IFERROR(__xludf.DUMMYFUNCTION("""COMPUTED_VALUE"""),742708.0)</f>
        <v>742708</v>
      </c>
      <c r="B3298" s="2">
        <f>IFERROR(__xludf.DUMMYFUNCTION("""COMPUTED_VALUE"""),42746.0095342483)</f>
        <v>42746.00953</v>
      </c>
      <c r="C3298" s="1" t="str">
        <f>IFERROR(__xludf.DUMMYFUNCTION("""COMPUTED_VALUE"""),"treatment")</f>
        <v>treatment</v>
      </c>
      <c r="D3298" s="1" t="str">
        <f>IFERROR(__xludf.DUMMYFUNCTION("""COMPUTED_VALUE"""),"new_page")</f>
        <v>new_page</v>
      </c>
      <c r="E3298" s="1">
        <f>IFERROR(__xludf.DUMMYFUNCTION("""COMPUTED_VALUE"""),0.0)</f>
        <v>0</v>
      </c>
    </row>
    <row r="3299">
      <c r="A3299" s="1">
        <f>IFERROR(__xludf.DUMMYFUNCTION("""COMPUTED_VALUE"""),634388.0)</f>
        <v>634388</v>
      </c>
      <c r="B3299" s="2">
        <f>IFERROR(__xludf.DUMMYFUNCTION("""COMPUTED_VALUE"""),42738.91692229253)</f>
        <v>42738.91692</v>
      </c>
      <c r="C3299" s="1" t="str">
        <f>IFERROR(__xludf.DUMMYFUNCTION("""COMPUTED_VALUE"""),"control")</f>
        <v>control</v>
      </c>
      <c r="D3299" s="1" t="str">
        <f>IFERROR(__xludf.DUMMYFUNCTION("""COMPUTED_VALUE"""),"old_page")</f>
        <v>old_page</v>
      </c>
      <c r="E3299" s="1">
        <f>IFERROR(__xludf.DUMMYFUNCTION("""COMPUTED_VALUE"""),1.0)</f>
        <v>1</v>
      </c>
    </row>
    <row r="3300">
      <c r="A3300" s="1">
        <f>IFERROR(__xludf.DUMMYFUNCTION("""COMPUTED_VALUE"""),730733.0)</f>
        <v>730733</v>
      </c>
      <c r="B3300" s="2">
        <f>IFERROR(__xludf.DUMMYFUNCTION("""COMPUTED_VALUE"""),42753.673564290264)</f>
        <v>42753.67356</v>
      </c>
      <c r="C3300" s="1" t="str">
        <f>IFERROR(__xludf.DUMMYFUNCTION("""COMPUTED_VALUE"""),"treatment")</f>
        <v>treatment</v>
      </c>
      <c r="D3300" s="1" t="str">
        <f>IFERROR(__xludf.DUMMYFUNCTION("""COMPUTED_VALUE"""),"new_page")</f>
        <v>new_page</v>
      </c>
      <c r="E3300" s="1">
        <f>IFERROR(__xludf.DUMMYFUNCTION("""COMPUTED_VALUE"""),0.0)</f>
        <v>0</v>
      </c>
    </row>
    <row r="3301">
      <c r="A3301" s="1">
        <f>IFERROR(__xludf.DUMMYFUNCTION("""COMPUTED_VALUE"""),854882.0)</f>
        <v>854882</v>
      </c>
      <c r="B3301" s="2">
        <f>IFERROR(__xludf.DUMMYFUNCTION("""COMPUTED_VALUE"""),42754.15104363868)</f>
        <v>42754.15104</v>
      </c>
      <c r="C3301" s="1" t="str">
        <f>IFERROR(__xludf.DUMMYFUNCTION("""COMPUTED_VALUE"""),"treatment")</f>
        <v>treatment</v>
      </c>
      <c r="D3301" s="1" t="str">
        <f>IFERROR(__xludf.DUMMYFUNCTION("""COMPUTED_VALUE"""),"new_page")</f>
        <v>new_page</v>
      </c>
      <c r="E3301" s="1">
        <f>IFERROR(__xludf.DUMMYFUNCTION("""COMPUTED_VALUE"""),0.0)</f>
        <v>0</v>
      </c>
    </row>
    <row r="3302">
      <c r="A3302" s="1">
        <f>IFERROR(__xludf.DUMMYFUNCTION("""COMPUTED_VALUE"""),841618.0)</f>
        <v>841618</v>
      </c>
      <c r="B3302" s="2">
        <f>IFERROR(__xludf.DUMMYFUNCTION("""COMPUTED_VALUE"""),42740.0888439016)</f>
        <v>42740.08884</v>
      </c>
      <c r="C3302" s="1" t="str">
        <f>IFERROR(__xludf.DUMMYFUNCTION("""COMPUTED_VALUE"""),"treatment")</f>
        <v>treatment</v>
      </c>
      <c r="D3302" s="1" t="str">
        <f>IFERROR(__xludf.DUMMYFUNCTION("""COMPUTED_VALUE"""),"new_page")</f>
        <v>new_page</v>
      </c>
      <c r="E3302" s="1">
        <f>IFERROR(__xludf.DUMMYFUNCTION("""COMPUTED_VALUE"""),0.0)</f>
        <v>0</v>
      </c>
    </row>
    <row r="3303">
      <c r="A3303" s="1">
        <f>IFERROR(__xludf.DUMMYFUNCTION("""COMPUTED_VALUE"""),901882.0)</f>
        <v>901882</v>
      </c>
      <c r="B3303" s="2">
        <f>IFERROR(__xludf.DUMMYFUNCTION("""COMPUTED_VALUE"""),42754.46769043655)</f>
        <v>42754.46769</v>
      </c>
      <c r="C3303" s="1" t="str">
        <f>IFERROR(__xludf.DUMMYFUNCTION("""COMPUTED_VALUE"""),"treatment")</f>
        <v>treatment</v>
      </c>
      <c r="D3303" s="1" t="str">
        <f>IFERROR(__xludf.DUMMYFUNCTION("""COMPUTED_VALUE"""),"new_page")</f>
        <v>new_page</v>
      </c>
      <c r="E3303" s="1">
        <f>IFERROR(__xludf.DUMMYFUNCTION("""COMPUTED_VALUE"""),0.0)</f>
        <v>0</v>
      </c>
    </row>
    <row r="3304">
      <c r="A3304" s="1">
        <f>IFERROR(__xludf.DUMMYFUNCTION("""COMPUTED_VALUE"""),849921.0)</f>
        <v>849921</v>
      </c>
      <c r="B3304" s="2">
        <f>IFERROR(__xludf.DUMMYFUNCTION("""COMPUTED_VALUE"""),42754.270445023576)</f>
        <v>42754.27045</v>
      </c>
      <c r="C3304" s="1" t="str">
        <f>IFERROR(__xludf.DUMMYFUNCTION("""COMPUTED_VALUE"""),"treatment")</f>
        <v>treatment</v>
      </c>
      <c r="D3304" s="1" t="str">
        <f>IFERROR(__xludf.DUMMYFUNCTION("""COMPUTED_VALUE"""),"new_page")</f>
        <v>new_page</v>
      </c>
      <c r="E3304" s="1">
        <f>IFERROR(__xludf.DUMMYFUNCTION("""COMPUTED_VALUE"""),0.0)</f>
        <v>0</v>
      </c>
    </row>
    <row r="3305">
      <c r="A3305" s="1">
        <f>IFERROR(__xludf.DUMMYFUNCTION("""COMPUTED_VALUE"""),931269.0)</f>
        <v>931269</v>
      </c>
      <c r="B3305" s="2">
        <f>IFERROR(__xludf.DUMMYFUNCTION("""COMPUTED_VALUE"""),42737.98040387645)</f>
        <v>42737.9804</v>
      </c>
      <c r="C3305" s="1" t="str">
        <f>IFERROR(__xludf.DUMMYFUNCTION("""COMPUTED_VALUE"""),"treatment")</f>
        <v>treatment</v>
      </c>
      <c r="D3305" s="1" t="str">
        <f>IFERROR(__xludf.DUMMYFUNCTION("""COMPUTED_VALUE"""),"new_page")</f>
        <v>new_page</v>
      </c>
      <c r="E3305" s="1">
        <f>IFERROR(__xludf.DUMMYFUNCTION("""COMPUTED_VALUE"""),1.0)</f>
        <v>1</v>
      </c>
    </row>
    <row r="3306">
      <c r="A3306" s="1">
        <f>IFERROR(__xludf.DUMMYFUNCTION("""COMPUTED_VALUE"""),881445.0)</f>
        <v>881445</v>
      </c>
      <c r="B3306" s="2">
        <f>IFERROR(__xludf.DUMMYFUNCTION("""COMPUTED_VALUE"""),42749.475791323915)</f>
        <v>42749.47579</v>
      </c>
      <c r="C3306" s="1" t="str">
        <f>IFERROR(__xludf.DUMMYFUNCTION("""COMPUTED_VALUE"""),"treatment")</f>
        <v>treatment</v>
      </c>
      <c r="D3306" s="1" t="str">
        <f>IFERROR(__xludf.DUMMYFUNCTION("""COMPUTED_VALUE"""),"new_page")</f>
        <v>new_page</v>
      </c>
      <c r="E3306" s="1">
        <f>IFERROR(__xludf.DUMMYFUNCTION("""COMPUTED_VALUE"""),0.0)</f>
        <v>0</v>
      </c>
    </row>
    <row r="3307">
      <c r="A3307" s="1">
        <f>IFERROR(__xludf.DUMMYFUNCTION("""COMPUTED_VALUE"""),824018.0)</f>
        <v>824018</v>
      </c>
      <c r="B3307" s="2">
        <f>IFERROR(__xludf.DUMMYFUNCTION("""COMPUTED_VALUE"""),42751.56743854101)</f>
        <v>42751.56744</v>
      </c>
      <c r="C3307" s="1" t="str">
        <f>IFERROR(__xludf.DUMMYFUNCTION("""COMPUTED_VALUE"""),"treatment")</f>
        <v>treatment</v>
      </c>
      <c r="D3307" s="1" t="str">
        <f>IFERROR(__xludf.DUMMYFUNCTION("""COMPUTED_VALUE"""),"new_page")</f>
        <v>new_page</v>
      </c>
      <c r="E3307" s="1">
        <f>IFERROR(__xludf.DUMMYFUNCTION("""COMPUTED_VALUE"""),1.0)</f>
        <v>1</v>
      </c>
    </row>
    <row r="3308">
      <c r="A3308" s="1">
        <f>IFERROR(__xludf.DUMMYFUNCTION("""COMPUTED_VALUE"""),809229.0)</f>
        <v>809229</v>
      </c>
      <c r="B3308" s="2">
        <f>IFERROR(__xludf.DUMMYFUNCTION("""COMPUTED_VALUE"""),42752.94266671097)</f>
        <v>42752.94267</v>
      </c>
      <c r="C3308" s="1" t="str">
        <f>IFERROR(__xludf.DUMMYFUNCTION("""COMPUTED_VALUE"""),"treatment")</f>
        <v>treatment</v>
      </c>
      <c r="D3308" s="1" t="str">
        <f>IFERROR(__xludf.DUMMYFUNCTION("""COMPUTED_VALUE"""),"old_page")</f>
        <v>old_page</v>
      </c>
      <c r="E3308" s="1">
        <f>IFERROR(__xludf.DUMMYFUNCTION("""COMPUTED_VALUE"""),0.0)</f>
        <v>0</v>
      </c>
    </row>
    <row r="3309">
      <c r="A3309" s="1">
        <f>IFERROR(__xludf.DUMMYFUNCTION("""COMPUTED_VALUE"""),781628.0)</f>
        <v>781628</v>
      </c>
      <c r="B3309" s="2">
        <f>IFERROR(__xludf.DUMMYFUNCTION("""COMPUTED_VALUE"""),42747.18170692554)</f>
        <v>42747.18171</v>
      </c>
      <c r="C3309" s="1" t="str">
        <f>IFERROR(__xludf.DUMMYFUNCTION("""COMPUTED_VALUE"""),"treatment")</f>
        <v>treatment</v>
      </c>
      <c r="D3309" s="1" t="str">
        <f>IFERROR(__xludf.DUMMYFUNCTION("""COMPUTED_VALUE"""),"new_page")</f>
        <v>new_page</v>
      </c>
      <c r="E3309" s="1">
        <f>IFERROR(__xludf.DUMMYFUNCTION("""COMPUTED_VALUE"""),0.0)</f>
        <v>0</v>
      </c>
    </row>
    <row r="3310">
      <c r="A3310" s="1">
        <f>IFERROR(__xludf.DUMMYFUNCTION("""COMPUTED_VALUE"""),761994.0)</f>
        <v>761994</v>
      </c>
      <c r="B3310" s="2">
        <f>IFERROR(__xludf.DUMMYFUNCTION("""COMPUTED_VALUE"""),42747.1513453611)</f>
        <v>42747.15135</v>
      </c>
      <c r="C3310" s="1" t="str">
        <f>IFERROR(__xludf.DUMMYFUNCTION("""COMPUTED_VALUE"""),"control")</f>
        <v>control</v>
      </c>
      <c r="D3310" s="1" t="str">
        <f>IFERROR(__xludf.DUMMYFUNCTION("""COMPUTED_VALUE"""),"old_page")</f>
        <v>old_page</v>
      </c>
      <c r="E3310" s="1">
        <f>IFERROR(__xludf.DUMMYFUNCTION("""COMPUTED_VALUE"""),0.0)</f>
        <v>0</v>
      </c>
    </row>
    <row r="3311">
      <c r="A3311" s="1">
        <f>IFERROR(__xludf.DUMMYFUNCTION("""COMPUTED_VALUE"""),782484.0)</f>
        <v>782484</v>
      </c>
      <c r="B3311" s="2">
        <f>IFERROR(__xludf.DUMMYFUNCTION("""COMPUTED_VALUE"""),42741.32410501963)</f>
        <v>42741.32411</v>
      </c>
      <c r="C3311" s="1" t="str">
        <f>IFERROR(__xludf.DUMMYFUNCTION("""COMPUTED_VALUE"""),"treatment")</f>
        <v>treatment</v>
      </c>
      <c r="D3311" s="1" t="str">
        <f>IFERROR(__xludf.DUMMYFUNCTION("""COMPUTED_VALUE"""),"new_page")</f>
        <v>new_page</v>
      </c>
      <c r="E3311" s="1">
        <f>IFERROR(__xludf.DUMMYFUNCTION("""COMPUTED_VALUE"""),1.0)</f>
        <v>1</v>
      </c>
    </row>
    <row r="3312">
      <c r="A3312" s="1">
        <f>IFERROR(__xludf.DUMMYFUNCTION("""COMPUTED_VALUE"""),632407.0)</f>
        <v>632407</v>
      </c>
      <c r="B3312" s="2">
        <f>IFERROR(__xludf.DUMMYFUNCTION("""COMPUTED_VALUE"""),42759.51756015396)</f>
        <v>42759.51756</v>
      </c>
      <c r="C3312" s="1" t="str">
        <f>IFERROR(__xludf.DUMMYFUNCTION("""COMPUTED_VALUE"""),"treatment")</f>
        <v>treatment</v>
      </c>
      <c r="D3312" s="1" t="str">
        <f>IFERROR(__xludf.DUMMYFUNCTION("""COMPUTED_VALUE"""),"new_page")</f>
        <v>new_page</v>
      </c>
      <c r="E3312" s="1">
        <f>IFERROR(__xludf.DUMMYFUNCTION("""COMPUTED_VALUE"""),0.0)</f>
        <v>0</v>
      </c>
    </row>
    <row r="3313">
      <c r="A3313" s="1">
        <f>IFERROR(__xludf.DUMMYFUNCTION("""COMPUTED_VALUE"""),699772.0)</f>
        <v>699772</v>
      </c>
      <c r="B3313" s="2">
        <f>IFERROR(__xludf.DUMMYFUNCTION("""COMPUTED_VALUE"""),42743.42983843303)</f>
        <v>42743.42984</v>
      </c>
      <c r="C3313" s="1" t="str">
        <f>IFERROR(__xludf.DUMMYFUNCTION("""COMPUTED_VALUE"""),"treatment")</f>
        <v>treatment</v>
      </c>
      <c r="D3313" s="1" t="str">
        <f>IFERROR(__xludf.DUMMYFUNCTION("""COMPUTED_VALUE"""),"new_page")</f>
        <v>new_page</v>
      </c>
      <c r="E3313" s="1">
        <f>IFERROR(__xludf.DUMMYFUNCTION("""COMPUTED_VALUE"""),0.0)</f>
        <v>0</v>
      </c>
    </row>
    <row r="3314">
      <c r="A3314" s="1">
        <f>IFERROR(__xludf.DUMMYFUNCTION("""COMPUTED_VALUE"""),908658.0)</f>
        <v>908658</v>
      </c>
      <c r="B3314" s="2">
        <f>IFERROR(__xludf.DUMMYFUNCTION("""COMPUTED_VALUE"""),42747.49876992706)</f>
        <v>42747.49877</v>
      </c>
      <c r="C3314" s="1" t="str">
        <f>IFERROR(__xludf.DUMMYFUNCTION("""COMPUTED_VALUE"""),"control")</f>
        <v>control</v>
      </c>
      <c r="D3314" s="1" t="str">
        <f>IFERROR(__xludf.DUMMYFUNCTION("""COMPUTED_VALUE"""),"old_page")</f>
        <v>old_page</v>
      </c>
      <c r="E3314" s="1">
        <f>IFERROR(__xludf.DUMMYFUNCTION("""COMPUTED_VALUE"""),0.0)</f>
        <v>0</v>
      </c>
    </row>
    <row r="3315">
      <c r="A3315" s="1">
        <f>IFERROR(__xludf.DUMMYFUNCTION("""COMPUTED_VALUE"""),633453.0)</f>
        <v>633453</v>
      </c>
      <c r="B3315" s="2">
        <f>IFERROR(__xludf.DUMMYFUNCTION("""COMPUTED_VALUE"""),42741.536161650205)</f>
        <v>42741.53616</v>
      </c>
      <c r="C3315" s="1" t="str">
        <f>IFERROR(__xludf.DUMMYFUNCTION("""COMPUTED_VALUE"""),"treatment")</f>
        <v>treatment</v>
      </c>
      <c r="D3315" s="1" t="str">
        <f>IFERROR(__xludf.DUMMYFUNCTION("""COMPUTED_VALUE"""),"new_page")</f>
        <v>new_page</v>
      </c>
      <c r="E3315" s="1">
        <f>IFERROR(__xludf.DUMMYFUNCTION("""COMPUTED_VALUE"""),0.0)</f>
        <v>0</v>
      </c>
    </row>
    <row r="3316">
      <c r="A3316" s="1">
        <f>IFERROR(__xludf.DUMMYFUNCTION("""COMPUTED_VALUE"""),754691.0)</f>
        <v>754691</v>
      </c>
      <c r="B3316" s="2">
        <f>IFERROR(__xludf.DUMMYFUNCTION("""COMPUTED_VALUE"""),42751.53335544691)</f>
        <v>42751.53336</v>
      </c>
      <c r="C3316" s="1" t="str">
        <f>IFERROR(__xludf.DUMMYFUNCTION("""COMPUTED_VALUE"""),"control")</f>
        <v>control</v>
      </c>
      <c r="D3316" s="1" t="str">
        <f>IFERROR(__xludf.DUMMYFUNCTION("""COMPUTED_VALUE"""),"old_page")</f>
        <v>old_page</v>
      </c>
      <c r="E3316" s="1">
        <f>IFERROR(__xludf.DUMMYFUNCTION("""COMPUTED_VALUE"""),0.0)</f>
        <v>0</v>
      </c>
    </row>
    <row r="3317">
      <c r="A3317" s="1">
        <f>IFERROR(__xludf.DUMMYFUNCTION("""COMPUTED_VALUE"""),921365.0)</f>
        <v>921365</v>
      </c>
      <c r="B3317" s="2">
        <f>IFERROR(__xludf.DUMMYFUNCTION("""COMPUTED_VALUE"""),42744.74724513441)</f>
        <v>42744.74725</v>
      </c>
      <c r="C3317" s="1" t="str">
        <f>IFERROR(__xludf.DUMMYFUNCTION("""COMPUTED_VALUE"""),"treatment")</f>
        <v>treatment</v>
      </c>
      <c r="D3317" s="1" t="str">
        <f>IFERROR(__xludf.DUMMYFUNCTION("""COMPUTED_VALUE"""),"new_page")</f>
        <v>new_page</v>
      </c>
      <c r="E3317" s="1">
        <f>IFERROR(__xludf.DUMMYFUNCTION("""COMPUTED_VALUE"""),0.0)</f>
        <v>0</v>
      </c>
    </row>
    <row r="3318">
      <c r="A3318" s="1">
        <f>IFERROR(__xludf.DUMMYFUNCTION("""COMPUTED_VALUE"""),868182.0)</f>
        <v>868182</v>
      </c>
      <c r="B3318" s="2">
        <f>IFERROR(__xludf.DUMMYFUNCTION("""COMPUTED_VALUE"""),42744.56817360695)</f>
        <v>42744.56817</v>
      </c>
      <c r="C3318" s="1" t="str">
        <f>IFERROR(__xludf.DUMMYFUNCTION("""COMPUTED_VALUE"""),"treatment")</f>
        <v>treatment</v>
      </c>
      <c r="D3318" s="1" t="str">
        <f>IFERROR(__xludf.DUMMYFUNCTION("""COMPUTED_VALUE"""),"new_page")</f>
        <v>new_page</v>
      </c>
      <c r="E3318" s="1">
        <f>IFERROR(__xludf.DUMMYFUNCTION("""COMPUTED_VALUE"""),1.0)</f>
        <v>1</v>
      </c>
    </row>
    <row r="3319">
      <c r="A3319" s="1">
        <f>IFERROR(__xludf.DUMMYFUNCTION("""COMPUTED_VALUE"""),772092.0)</f>
        <v>772092</v>
      </c>
      <c r="B3319" s="2">
        <f>IFERROR(__xludf.DUMMYFUNCTION("""COMPUTED_VALUE"""),42747.64140885906)</f>
        <v>42747.64141</v>
      </c>
      <c r="C3319" s="1" t="str">
        <f>IFERROR(__xludf.DUMMYFUNCTION("""COMPUTED_VALUE"""),"control")</f>
        <v>control</v>
      </c>
      <c r="D3319" s="1" t="str">
        <f>IFERROR(__xludf.DUMMYFUNCTION("""COMPUTED_VALUE"""),"old_page")</f>
        <v>old_page</v>
      </c>
      <c r="E3319" s="1">
        <f>IFERROR(__xludf.DUMMYFUNCTION("""COMPUTED_VALUE"""),0.0)</f>
        <v>0</v>
      </c>
    </row>
    <row r="3320">
      <c r="A3320" s="1">
        <f>IFERROR(__xludf.DUMMYFUNCTION("""COMPUTED_VALUE"""),661258.0)</f>
        <v>661258</v>
      </c>
      <c r="B3320" s="2">
        <f>IFERROR(__xludf.DUMMYFUNCTION("""COMPUTED_VALUE"""),42746.426415375674)</f>
        <v>42746.42642</v>
      </c>
      <c r="C3320" s="1" t="str">
        <f>IFERROR(__xludf.DUMMYFUNCTION("""COMPUTED_VALUE"""),"control")</f>
        <v>control</v>
      </c>
      <c r="D3320" s="1" t="str">
        <f>IFERROR(__xludf.DUMMYFUNCTION("""COMPUTED_VALUE"""),"old_page")</f>
        <v>old_page</v>
      </c>
      <c r="E3320" s="1">
        <f>IFERROR(__xludf.DUMMYFUNCTION("""COMPUTED_VALUE"""),0.0)</f>
        <v>0</v>
      </c>
    </row>
    <row r="3321">
      <c r="A3321" s="1">
        <f>IFERROR(__xludf.DUMMYFUNCTION("""COMPUTED_VALUE"""),759907.0)</f>
        <v>759907</v>
      </c>
      <c r="B3321" s="2">
        <f>IFERROR(__xludf.DUMMYFUNCTION("""COMPUTED_VALUE"""),42741.539577652016)</f>
        <v>42741.53958</v>
      </c>
      <c r="C3321" s="1" t="str">
        <f>IFERROR(__xludf.DUMMYFUNCTION("""COMPUTED_VALUE"""),"control")</f>
        <v>control</v>
      </c>
      <c r="D3321" s="1" t="str">
        <f>IFERROR(__xludf.DUMMYFUNCTION("""COMPUTED_VALUE"""),"old_page")</f>
        <v>old_page</v>
      </c>
      <c r="E3321" s="1">
        <f>IFERROR(__xludf.DUMMYFUNCTION("""COMPUTED_VALUE"""),0.0)</f>
        <v>0</v>
      </c>
    </row>
    <row r="3322">
      <c r="A3322" s="1">
        <f>IFERROR(__xludf.DUMMYFUNCTION("""COMPUTED_VALUE"""),833323.0)</f>
        <v>833323</v>
      </c>
      <c r="B3322" s="2">
        <f>IFERROR(__xludf.DUMMYFUNCTION("""COMPUTED_VALUE"""),42754.90455360158)</f>
        <v>42754.90455</v>
      </c>
      <c r="C3322" s="1" t="str">
        <f>IFERROR(__xludf.DUMMYFUNCTION("""COMPUTED_VALUE"""),"treatment")</f>
        <v>treatment</v>
      </c>
      <c r="D3322" s="1" t="str">
        <f>IFERROR(__xludf.DUMMYFUNCTION("""COMPUTED_VALUE"""),"new_page")</f>
        <v>new_page</v>
      </c>
      <c r="E3322" s="1">
        <f>IFERROR(__xludf.DUMMYFUNCTION("""COMPUTED_VALUE"""),0.0)</f>
        <v>0</v>
      </c>
    </row>
    <row r="3323">
      <c r="A3323" s="1">
        <f>IFERROR(__xludf.DUMMYFUNCTION("""COMPUTED_VALUE"""),922442.0)</f>
        <v>922442</v>
      </c>
      <c r="B3323" s="2">
        <f>IFERROR(__xludf.DUMMYFUNCTION("""COMPUTED_VALUE"""),42737.72704135461)</f>
        <v>42737.72704</v>
      </c>
      <c r="C3323" s="1" t="str">
        <f>IFERROR(__xludf.DUMMYFUNCTION("""COMPUTED_VALUE"""),"control")</f>
        <v>control</v>
      </c>
      <c r="D3323" s="1" t="str">
        <f>IFERROR(__xludf.DUMMYFUNCTION("""COMPUTED_VALUE"""),"old_page")</f>
        <v>old_page</v>
      </c>
      <c r="E3323" s="1">
        <f>IFERROR(__xludf.DUMMYFUNCTION("""COMPUTED_VALUE"""),0.0)</f>
        <v>0</v>
      </c>
    </row>
    <row r="3324">
      <c r="A3324" s="1">
        <f>IFERROR(__xludf.DUMMYFUNCTION("""COMPUTED_VALUE"""),823893.0)</f>
        <v>823893</v>
      </c>
      <c r="B3324" s="2">
        <f>IFERROR(__xludf.DUMMYFUNCTION("""COMPUTED_VALUE"""),42738.088073202925)</f>
        <v>42738.08807</v>
      </c>
      <c r="C3324" s="1" t="str">
        <f>IFERROR(__xludf.DUMMYFUNCTION("""COMPUTED_VALUE"""),"treatment")</f>
        <v>treatment</v>
      </c>
      <c r="D3324" s="1" t="str">
        <f>IFERROR(__xludf.DUMMYFUNCTION("""COMPUTED_VALUE"""),"new_page")</f>
        <v>new_page</v>
      </c>
      <c r="E3324" s="1">
        <f>IFERROR(__xludf.DUMMYFUNCTION("""COMPUTED_VALUE"""),1.0)</f>
        <v>1</v>
      </c>
    </row>
    <row r="3325">
      <c r="A3325" s="1">
        <f>IFERROR(__xludf.DUMMYFUNCTION("""COMPUTED_VALUE"""),917796.0)</f>
        <v>917796</v>
      </c>
      <c r="B3325" s="2">
        <f>IFERROR(__xludf.DUMMYFUNCTION("""COMPUTED_VALUE"""),42757.22673911224)</f>
        <v>42757.22674</v>
      </c>
      <c r="C3325" s="1" t="str">
        <f>IFERROR(__xludf.DUMMYFUNCTION("""COMPUTED_VALUE"""),"control")</f>
        <v>control</v>
      </c>
      <c r="D3325" s="1" t="str">
        <f>IFERROR(__xludf.DUMMYFUNCTION("""COMPUTED_VALUE"""),"old_page")</f>
        <v>old_page</v>
      </c>
      <c r="E3325" s="1">
        <f>IFERROR(__xludf.DUMMYFUNCTION("""COMPUTED_VALUE"""),0.0)</f>
        <v>0</v>
      </c>
    </row>
    <row r="3326">
      <c r="A3326" s="1">
        <f>IFERROR(__xludf.DUMMYFUNCTION("""COMPUTED_VALUE"""),816085.0)</f>
        <v>816085</v>
      </c>
      <c r="B3326" s="2">
        <f>IFERROR(__xludf.DUMMYFUNCTION("""COMPUTED_VALUE"""),42742.621599792314)</f>
        <v>42742.6216</v>
      </c>
      <c r="C3326" s="1" t="str">
        <f>IFERROR(__xludf.DUMMYFUNCTION("""COMPUTED_VALUE"""),"treatment")</f>
        <v>treatment</v>
      </c>
      <c r="D3326" s="1" t="str">
        <f>IFERROR(__xludf.DUMMYFUNCTION("""COMPUTED_VALUE"""),"new_page")</f>
        <v>new_page</v>
      </c>
      <c r="E3326" s="1">
        <f>IFERROR(__xludf.DUMMYFUNCTION("""COMPUTED_VALUE"""),0.0)</f>
        <v>0</v>
      </c>
    </row>
    <row r="3327">
      <c r="A3327" s="1">
        <f>IFERROR(__xludf.DUMMYFUNCTION("""COMPUTED_VALUE"""),639177.0)</f>
        <v>639177</v>
      </c>
      <c r="B3327" s="2">
        <f>IFERROR(__xludf.DUMMYFUNCTION("""COMPUTED_VALUE"""),42745.78463395052)</f>
        <v>42745.78463</v>
      </c>
      <c r="C3327" s="1" t="str">
        <f>IFERROR(__xludf.DUMMYFUNCTION("""COMPUTED_VALUE"""),"control")</f>
        <v>control</v>
      </c>
      <c r="D3327" s="1" t="str">
        <f>IFERROR(__xludf.DUMMYFUNCTION("""COMPUTED_VALUE"""),"old_page")</f>
        <v>old_page</v>
      </c>
      <c r="E3327" s="1">
        <f>IFERROR(__xludf.DUMMYFUNCTION("""COMPUTED_VALUE"""),1.0)</f>
        <v>1</v>
      </c>
    </row>
    <row r="3328">
      <c r="A3328" s="1">
        <f>IFERROR(__xludf.DUMMYFUNCTION("""COMPUTED_VALUE"""),904363.0)</f>
        <v>904363</v>
      </c>
      <c r="B3328" s="2">
        <f>IFERROR(__xludf.DUMMYFUNCTION("""COMPUTED_VALUE"""),42749.580630267315)</f>
        <v>42749.58063</v>
      </c>
      <c r="C3328" s="1" t="str">
        <f>IFERROR(__xludf.DUMMYFUNCTION("""COMPUTED_VALUE"""),"treatment")</f>
        <v>treatment</v>
      </c>
      <c r="D3328" s="1" t="str">
        <f>IFERROR(__xludf.DUMMYFUNCTION("""COMPUTED_VALUE"""),"new_page")</f>
        <v>new_page</v>
      </c>
      <c r="E3328" s="1">
        <f>IFERROR(__xludf.DUMMYFUNCTION("""COMPUTED_VALUE"""),0.0)</f>
        <v>0</v>
      </c>
    </row>
    <row r="3329">
      <c r="A3329" s="1">
        <f>IFERROR(__xludf.DUMMYFUNCTION("""COMPUTED_VALUE"""),908003.0)</f>
        <v>908003</v>
      </c>
      <c r="B3329" s="2">
        <f>IFERROR(__xludf.DUMMYFUNCTION("""COMPUTED_VALUE"""),42742.82431862221)</f>
        <v>42742.82432</v>
      </c>
      <c r="C3329" s="1" t="str">
        <f>IFERROR(__xludf.DUMMYFUNCTION("""COMPUTED_VALUE"""),"control")</f>
        <v>control</v>
      </c>
      <c r="D3329" s="1" t="str">
        <f>IFERROR(__xludf.DUMMYFUNCTION("""COMPUTED_VALUE"""),"old_page")</f>
        <v>old_page</v>
      </c>
      <c r="E3329" s="1">
        <f>IFERROR(__xludf.DUMMYFUNCTION("""COMPUTED_VALUE"""),0.0)</f>
        <v>0</v>
      </c>
    </row>
    <row r="3330">
      <c r="A3330" s="1">
        <f>IFERROR(__xludf.DUMMYFUNCTION("""COMPUTED_VALUE"""),779139.0)</f>
        <v>779139</v>
      </c>
      <c r="B3330" s="2">
        <f>IFERROR(__xludf.DUMMYFUNCTION("""COMPUTED_VALUE"""),42755.75758192617)</f>
        <v>42755.75758</v>
      </c>
      <c r="C3330" s="1" t="str">
        <f>IFERROR(__xludf.DUMMYFUNCTION("""COMPUTED_VALUE"""),"control")</f>
        <v>control</v>
      </c>
      <c r="D3330" s="1" t="str">
        <f>IFERROR(__xludf.DUMMYFUNCTION("""COMPUTED_VALUE"""),"old_page")</f>
        <v>old_page</v>
      </c>
      <c r="E3330" s="1">
        <f>IFERROR(__xludf.DUMMYFUNCTION("""COMPUTED_VALUE"""),0.0)</f>
        <v>0</v>
      </c>
    </row>
    <row r="3331">
      <c r="A3331" s="1">
        <f>IFERROR(__xludf.DUMMYFUNCTION("""COMPUTED_VALUE"""),671364.0)</f>
        <v>671364</v>
      </c>
      <c r="B3331" s="2">
        <f>IFERROR(__xludf.DUMMYFUNCTION("""COMPUTED_VALUE"""),42758.35874138172)</f>
        <v>42758.35874</v>
      </c>
      <c r="C3331" s="1" t="str">
        <f>IFERROR(__xludf.DUMMYFUNCTION("""COMPUTED_VALUE"""),"control")</f>
        <v>control</v>
      </c>
      <c r="D3331" s="1" t="str">
        <f>IFERROR(__xludf.DUMMYFUNCTION("""COMPUTED_VALUE"""),"old_page")</f>
        <v>old_page</v>
      </c>
      <c r="E3331" s="1">
        <f>IFERROR(__xludf.DUMMYFUNCTION("""COMPUTED_VALUE"""),0.0)</f>
        <v>0</v>
      </c>
    </row>
    <row r="3332">
      <c r="A3332" s="1">
        <f>IFERROR(__xludf.DUMMYFUNCTION("""COMPUTED_VALUE"""),752073.0)</f>
        <v>752073</v>
      </c>
      <c r="B3332" s="2">
        <f>IFERROR(__xludf.DUMMYFUNCTION("""COMPUTED_VALUE"""),42754.11622237182)</f>
        <v>42754.11622</v>
      </c>
      <c r="C3332" s="1" t="str">
        <f>IFERROR(__xludf.DUMMYFUNCTION("""COMPUTED_VALUE"""),"control")</f>
        <v>control</v>
      </c>
      <c r="D3332" s="1" t="str">
        <f>IFERROR(__xludf.DUMMYFUNCTION("""COMPUTED_VALUE"""),"old_page")</f>
        <v>old_page</v>
      </c>
      <c r="E3332" s="1">
        <f>IFERROR(__xludf.DUMMYFUNCTION("""COMPUTED_VALUE"""),0.0)</f>
        <v>0</v>
      </c>
    </row>
    <row r="3333">
      <c r="A3333" s="1">
        <f>IFERROR(__xludf.DUMMYFUNCTION("""COMPUTED_VALUE"""),799570.0)</f>
        <v>799570</v>
      </c>
      <c r="B3333" s="2">
        <f>IFERROR(__xludf.DUMMYFUNCTION("""COMPUTED_VALUE"""),42757.361818529)</f>
        <v>42757.36182</v>
      </c>
      <c r="C3333" s="1" t="str">
        <f>IFERROR(__xludf.DUMMYFUNCTION("""COMPUTED_VALUE"""),"treatment")</f>
        <v>treatment</v>
      </c>
      <c r="D3333" s="1" t="str">
        <f>IFERROR(__xludf.DUMMYFUNCTION("""COMPUTED_VALUE"""),"new_page")</f>
        <v>new_page</v>
      </c>
      <c r="E3333" s="1">
        <f>IFERROR(__xludf.DUMMYFUNCTION("""COMPUTED_VALUE"""),0.0)</f>
        <v>0</v>
      </c>
    </row>
    <row r="3334">
      <c r="A3334" s="1">
        <f>IFERROR(__xludf.DUMMYFUNCTION("""COMPUTED_VALUE"""),663151.0)</f>
        <v>663151</v>
      </c>
      <c r="B3334" s="2">
        <f>IFERROR(__xludf.DUMMYFUNCTION("""COMPUTED_VALUE"""),42758.40928666318)</f>
        <v>42758.40929</v>
      </c>
      <c r="C3334" s="1" t="str">
        <f>IFERROR(__xludf.DUMMYFUNCTION("""COMPUTED_VALUE"""),"treatment")</f>
        <v>treatment</v>
      </c>
      <c r="D3334" s="1" t="str">
        <f>IFERROR(__xludf.DUMMYFUNCTION("""COMPUTED_VALUE"""),"new_page")</f>
        <v>new_page</v>
      </c>
      <c r="E3334" s="1">
        <f>IFERROR(__xludf.DUMMYFUNCTION("""COMPUTED_VALUE"""),1.0)</f>
        <v>1</v>
      </c>
    </row>
    <row r="3335">
      <c r="A3335" s="1">
        <f>IFERROR(__xludf.DUMMYFUNCTION("""COMPUTED_VALUE"""),657509.0)</f>
        <v>657509</v>
      </c>
      <c r="B3335" s="2">
        <f>IFERROR(__xludf.DUMMYFUNCTION("""COMPUTED_VALUE"""),42749.76493903604)</f>
        <v>42749.76494</v>
      </c>
      <c r="C3335" s="1" t="str">
        <f>IFERROR(__xludf.DUMMYFUNCTION("""COMPUTED_VALUE"""),"control")</f>
        <v>control</v>
      </c>
      <c r="D3335" s="1" t="str">
        <f>IFERROR(__xludf.DUMMYFUNCTION("""COMPUTED_VALUE"""),"old_page")</f>
        <v>old_page</v>
      </c>
      <c r="E3335" s="1">
        <f>IFERROR(__xludf.DUMMYFUNCTION("""COMPUTED_VALUE"""),0.0)</f>
        <v>0</v>
      </c>
    </row>
    <row r="3336">
      <c r="A3336" s="1">
        <f>IFERROR(__xludf.DUMMYFUNCTION("""COMPUTED_VALUE"""),639391.0)</f>
        <v>639391</v>
      </c>
      <c r="B3336" s="2">
        <f>IFERROR(__xludf.DUMMYFUNCTION("""COMPUTED_VALUE"""),42752.21587585428)</f>
        <v>42752.21588</v>
      </c>
      <c r="C3336" s="1" t="str">
        <f>IFERROR(__xludf.DUMMYFUNCTION("""COMPUTED_VALUE"""),"control")</f>
        <v>control</v>
      </c>
      <c r="D3336" s="1" t="str">
        <f>IFERROR(__xludf.DUMMYFUNCTION("""COMPUTED_VALUE"""),"old_page")</f>
        <v>old_page</v>
      </c>
      <c r="E3336" s="1">
        <f>IFERROR(__xludf.DUMMYFUNCTION("""COMPUTED_VALUE"""),0.0)</f>
        <v>0</v>
      </c>
    </row>
    <row r="3337">
      <c r="A3337" s="1">
        <f>IFERROR(__xludf.DUMMYFUNCTION("""COMPUTED_VALUE"""),803742.0)</f>
        <v>803742</v>
      </c>
      <c r="B3337" s="2">
        <f>IFERROR(__xludf.DUMMYFUNCTION("""COMPUTED_VALUE"""),42750.66509954332)</f>
        <v>42750.6651</v>
      </c>
      <c r="C3337" s="1" t="str">
        <f>IFERROR(__xludf.DUMMYFUNCTION("""COMPUTED_VALUE"""),"treatment")</f>
        <v>treatment</v>
      </c>
      <c r="D3337" s="1" t="str">
        <f>IFERROR(__xludf.DUMMYFUNCTION("""COMPUTED_VALUE"""),"new_page")</f>
        <v>new_page</v>
      </c>
      <c r="E3337" s="1">
        <f>IFERROR(__xludf.DUMMYFUNCTION("""COMPUTED_VALUE"""),0.0)</f>
        <v>0</v>
      </c>
    </row>
    <row r="3338">
      <c r="A3338" s="1">
        <f>IFERROR(__xludf.DUMMYFUNCTION("""COMPUTED_VALUE"""),657302.0)</f>
        <v>657302</v>
      </c>
      <c r="B3338" s="2">
        <f>IFERROR(__xludf.DUMMYFUNCTION("""COMPUTED_VALUE"""),42746.968299724795)</f>
        <v>42746.9683</v>
      </c>
      <c r="C3338" s="1" t="str">
        <f>IFERROR(__xludf.DUMMYFUNCTION("""COMPUTED_VALUE"""),"control")</f>
        <v>control</v>
      </c>
      <c r="D3338" s="1" t="str">
        <f>IFERROR(__xludf.DUMMYFUNCTION("""COMPUTED_VALUE"""),"old_page")</f>
        <v>old_page</v>
      </c>
      <c r="E3338" s="1">
        <f>IFERROR(__xludf.DUMMYFUNCTION("""COMPUTED_VALUE"""),0.0)</f>
        <v>0</v>
      </c>
    </row>
    <row r="3339">
      <c r="A3339" s="1">
        <f>IFERROR(__xludf.DUMMYFUNCTION("""COMPUTED_VALUE"""),707795.0)</f>
        <v>707795</v>
      </c>
      <c r="B3339" s="2">
        <f>IFERROR(__xludf.DUMMYFUNCTION("""COMPUTED_VALUE"""),42737.83529540602)</f>
        <v>42737.8353</v>
      </c>
      <c r="C3339" s="1" t="str">
        <f>IFERROR(__xludf.DUMMYFUNCTION("""COMPUTED_VALUE"""),"treatment")</f>
        <v>treatment</v>
      </c>
      <c r="D3339" s="1" t="str">
        <f>IFERROR(__xludf.DUMMYFUNCTION("""COMPUTED_VALUE"""),"new_page")</f>
        <v>new_page</v>
      </c>
      <c r="E3339" s="1">
        <f>IFERROR(__xludf.DUMMYFUNCTION("""COMPUTED_VALUE"""),1.0)</f>
        <v>1</v>
      </c>
    </row>
    <row r="3340">
      <c r="A3340" s="1">
        <f>IFERROR(__xludf.DUMMYFUNCTION("""COMPUTED_VALUE"""),686162.0)</f>
        <v>686162</v>
      </c>
      <c r="B3340" s="2">
        <f>IFERROR(__xludf.DUMMYFUNCTION("""COMPUTED_VALUE"""),42737.744072307614)</f>
        <v>42737.74407</v>
      </c>
      <c r="C3340" s="1" t="str">
        <f>IFERROR(__xludf.DUMMYFUNCTION("""COMPUTED_VALUE"""),"treatment")</f>
        <v>treatment</v>
      </c>
      <c r="D3340" s="1" t="str">
        <f>IFERROR(__xludf.DUMMYFUNCTION("""COMPUTED_VALUE"""),"new_page")</f>
        <v>new_page</v>
      </c>
      <c r="E3340" s="1">
        <f>IFERROR(__xludf.DUMMYFUNCTION("""COMPUTED_VALUE"""),0.0)</f>
        <v>0</v>
      </c>
    </row>
    <row r="3341">
      <c r="A3341" s="1">
        <f>IFERROR(__xludf.DUMMYFUNCTION("""COMPUTED_VALUE"""),719568.0)</f>
        <v>719568</v>
      </c>
      <c r="B3341" s="2">
        <f>IFERROR(__xludf.DUMMYFUNCTION("""COMPUTED_VALUE"""),42754.68986027545)</f>
        <v>42754.68986</v>
      </c>
      <c r="C3341" s="1" t="str">
        <f>IFERROR(__xludf.DUMMYFUNCTION("""COMPUTED_VALUE"""),"control")</f>
        <v>control</v>
      </c>
      <c r="D3341" s="1" t="str">
        <f>IFERROR(__xludf.DUMMYFUNCTION("""COMPUTED_VALUE"""),"old_page")</f>
        <v>old_page</v>
      </c>
      <c r="E3341" s="1">
        <f>IFERROR(__xludf.DUMMYFUNCTION("""COMPUTED_VALUE"""),0.0)</f>
        <v>0</v>
      </c>
    </row>
    <row r="3342">
      <c r="A3342" s="1">
        <f>IFERROR(__xludf.DUMMYFUNCTION("""COMPUTED_VALUE"""),662649.0)</f>
        <v>662649</v>
      </c>
      <c r="B3342" s="2">
        <f>IFERROR(__xludf.DUMMYFUNCTION("""COMPUTED_VALUE"""),42743.00728779589)</f>
        <v>42743.00729</v>
      </c>
      <c r="C3342" s="1" t="str">
        <f>IFERROR(__xludf.DUMMYFUNCTION("""COMPUTED_VALUE"""),"control")</f>
        <v>control</v>
      </c>
      <c r="D3342" s="1" t="str">
        <f>IFERROR(__xludf.DUMMYFUNCTION("""COMPUTED_VALUE"""),"old_page")</f>
        <v>old_page</v>
      </c>
      <c r="E3342" s="1">
        <f>IFERROR(__xludf.DUMMYFUNCTION("""COMPUTED_VALUE"""),0.0)</f>
        <v>0</v>
      </c>
    </row>
    <row r="3343">
      <c r="A3343" s="1">
        <f>IFERROR(__xludf.DUMMYFUNCTION("""COMPUTED_VALUE"""),919336.0)</f>
        <v>919336</v>
      </c>
      <c r="B3343" s="2">
        <f>IFERROR(__xludf.DUMMYFUNCTION("""COMPUTED_VALUE"""),42744.51885992648)</f>
        <v>42744.51886</v>
      </c>
      <c r="C3343" s="1" t="str">
        <f>IFERROR(__xludf.DUMMYFUNCTION("""COMPUTED_VALUE"""),"treatment")</f>
        <v>treatment</v>
      </c>
      <c r="D3343" s="1" t="str">
        <f>IFERROR(__xludf.DUMMYFUNCTION("""COMPUTED_VALUE"""),"new_page")</f>
        <v>new_page</v>
      </c>
      <c r="E3343" s="1">
        <f>IFERROR(__xludf.DUMMYFUNCTION("""COMPUTED_VALUE"""),0.0)</f>
        <v>0</v>
      </c>
    </row>
    <row r="3344">
      <c r="A3344" s="1">
        <f>IFERROR(__xludf.DUMMYFUNCTION("""COMPUTED_VALUE"""),690508.0)</f>
        <v>690508</v>
      </c>
      <c r="B3344" s="2">
        <f>IFERROR(__xludf.DUMMYFUNCTION("""COMPUTED_VALUE"""),42747.18975979344)</f>
        <v>42747.18976</v>
      </c>
      <c r="C3344" s="1" t="str">
        <f>IFERROR(__xludf.DUMMYFUNCTION("""COMPUTED_VALUE"""),"treatment")</f>
        <v>treatment</v>
      </c>
      <c r="D3344" s="1" t="str">
        <f>IFERROR(__xludf.DUMMYFUNCTION("""COMPUTED_VALUE"""),"new_page")</f>
        <v>new_page</v>
      </c>
      <c r="E3344" s="1">
        <f>IFERROR(__xludf.DUMMYFUNCTION("""COMPUTED_VALUE"""),0.0)</f>
        <v>0</v>
      </c>
    </row>
    <row r="3345">
      <c r="A3345" s="1">
        <f>IFERROR(__xludf.DUMMYFUNCTION("""COMPUTED_VALUE"""),944920.0)</f>
        <v>944920</v>
      </c>
      <c r="B3345" s="2">
        <f>IFERROR(__xludf.DUMMYFUNCTION("""COMPUTED_VALUE"""),42752.656125851514)</f>
        <v>42752.65613</v>
      </c>
      <c r="C3345" s="1" t="str">
        <f>IFERROR(__xludf.DUMMYFUNCTION("""COMPUTED_VALUE"""),"treatment")</f>
        <v>treatment</v>
      </c>
      <c r="D3345" s="1" t="str">
        <f>IFERROR(__xludf.DUMMYFUNCTION("""COMPUTED_VALUE"""),"new_page")</f>
        <v>new_page</v>
      </c>
      <c r="E3345" s="1">
        <f>IFERROR(__xludf.DUMMYFUNCTION("""COMPUTED_VALUE"""),0.0)</f>
        <v>0</v>
      </c>
    </row>
    <row r="3346">
      <c r="A3346" s="1">
        <f>IFERROR(__xludf.DUMMYFUNCTION("""COMPUTED_VALUE"""),935063.0)</f>
        <v>935063</v>
      </c>
      <c r="B3346" s="2">
        <f>IFERROR(__xludf.DUMMYFUNCTION("""COMPUTED_VALUE"""),42743.90124289295)</f>
        <v>42743.90124</v>
      </c>
      <c r="C3346" s="1" t="str">
        <f>IFERROR(__xludf.DUMMYFUNCTION("""COMPUTED_VALUE"""),"control")</f>
        <v>control</v>
      </c>
      <c r="D3346" s="1" t="str">
        <f>IFERROR(__xludf.DUMMYFUNCTION("""COMPUTED_VALUE"""),"old_page")</f>
        <v>old_page</v>
      </c>
      <c r="E3346" s="1">
        <f>IFERROR(__xludf.DUMMYFUNCTION("""COMPUTED_VALUE"""),1.0)</f>
        <v>1</v>
      </c>
    </row>
    <row r="3347">
      <c r="A3347" s="1">
        <f>IFERROR(__xludf.DUMMYFUNCTION("""COMPUTED_VALUE"""),898435.0)</f>
        <v>898435</v>
      </c>
      <c r="B3347" s="2">
        <f>IFERROR(__xludf.DUMMYFUNCTION("""COMPUTED_VALUE"""),42748.38442133789)</f>
        <v>42748.38442</v>
      </c>
      <c r="C3347" s="1" t="str">
        <f>IFERROR(__xludf.DUMMYFUNCTION("""COMPUTED_VALUE"""),"control")</f>
        <v>control</v>
      </c>
      <c r="D3347" s="1" t="str">
        <f>IFERROR(__xludf.DUMMYFUNCTION("""COMPUTED_VALUE"""),"old_page")</f>
        <v>old_page</v>
      </c>
      <c r="E3347" s="1">
        <f>IFERROR(__xludf.DUMMYFUNCTION("""COMPUTED_VALUE"""),0.0)</f>
        <v>0</v>
      </c>
    </row>
    <row r="3348">
      <c r="A3348" s="1">
        <f>IFERROR(__xludf.DUMMYFUNCTION("""COMPUTED_VALUE"""),869537.0)</f>
        <v>869537</v>
      </c>
      <c r="B3348" s="2">
        <f>IFERROR(__xludf.DUMMYFUNCTION("""COMPUTED_VALUE"""),42746.937350211425)</f>
        <v>42746.93735</v>
      </c>
      <c r="C3348" s="1" t="str">
        <f>IFERROR(__xludf.DUMMYFUNCTION("""COMPUTED_VALUE"""),"control")</f>
        <v>control</v>
      </c>
      <c r="D3348" s="1" t="str">
        <f>IFERROR(__xludf.DUMMYFUNCTION("""COMPUTED_VALUE"""),"old_page")</f>
        <v>old_page</v>
      </c>
      <c r="E3348" s="1">
        <f>IFERROR(__xludf.DUMMYFUNCTION("""COMPUTED_VALUE"""),1.0)</f>
        <v>1</v>
      </c>
    </row>
    <row r="3349">
      <c r="A3349" s="1">
        <f>IFERROR(__xludf.DUMMYFUNCTION("""COMPUTED_VALUE"""),662068.0)</f>
        <v>662068</v>
      </c>
      <c r="B3349" s="2">
        <f>IFERROR(__xludf.DUMMYFUNCTION("""COMPUTED_VALUE"""),42748.30512232796)</f>
        <v>42748.30512</v>
      </c>
      <c r="C3349" s="1" t="str">
        <f>IFERROR(__xludf.DUMMYFUNCTION("""COMPUTED_VALUE"""),"control")</f>
        <v>control</v>
      </c>
      <c r="D3349" s="1" t="str">
        <f>IFERROR(__xludf.DUMMYFUNCTION("""COMPUTED_VALUE"""),"old_page")</f>
        <v>old_page</v>
      </c>
      <c r="E3349" s="1">
        <f>IFERROR(__xludf.DUMMYFUNCTION("""COMPUTED_VALUE"""),0.0)</f>
        <v>0</v>
      </c>
    </row>
    <row r="3350">
      <c r="A3350" s="1">
        <f>IFERROR(__xludf.DUMMYFUNCTION("""COMPUTED_VALUE"""),630829.0)</f>
        <v>630829</v>
      </c>
      <c r="B3350" s="2">
        <f>IFERROR(__xludf.DUMMYFUNCTION("""COMPUTED_VALUE"""),42740.40610012804)</f>
        <v>42740.4061</v>
      </c>
      <c r="C3350" s="1" t="str">
        <f>IFERROR(__xludf.DUMMYFUNCTION("""COMPUTED_VALUE"""),"control")</f>
        <v>control</v>
      </c>
      <c r="D3350" s="1" t="str">
        <f>IFERROR(__xludf.DUMMYFUNCTION("""COMPUTED_VALUE"""),"old_page")</f>
        <v>old_page</v>
      </c>
      <c r="E3350" s="1">
        <f>IFERROR(__xludf.DUMMYFUNCTION("""COMPUTED_VALUE"""),0.0)</f>
        <v>0</v>
      </c>
    </row>
    <row r="3351">
      <c r="A3351" s="1">
        <f>IFERROR(__xludf.DUMMYFUNCTION("""COMPUTED_VALUE"""),855602.0)</f>
        <v>855602</v>
      </c>
      <c r="B3351" s="2">
        <f>IFERROR(__xludf.DUMMYFUNCTION("""COMPUTED_VALUE"""),42746.704187927004)</f>
        <v>42746.70419</v>
      </c>
      <c r="C3351" s="1" t="str">
        <f>IFERROR(__xludf.DUMMYFUNCTION("""COMPUTED_VALUE"""),"control")</f>
        <v>control</v>
      </c>
      <c r="D3351" s="1" t="str">
        <f>IFERROR(__xludf.DUMMYFUNCTION("""COMPUTED_VALUE"""),"old_page")</f>
        <v>old_page</v>
      </c>
      <c r="E3351" s="1">
        <f>IFERROR(__xludf.DUMMYFUNCTION("""COMPUTED_VALUE"""),0.0)</f>
        <v>0</v>
      </c>
    </row>
    <row r="3352">
      <c r="A3352" s="1">
        <f>IFERROR(__xludf.DUMMYFUNCTION("""COMPUTED_VALUE"""),910711.0)</f>
        <v>910711</v>
      </c>
      <c r="B3352" s="2">
        <f>IFERROR(__xludf.DUMMYFUNCTION("""COMPUTED_VALUE"""),42745.01738186506)</f>
        <v>42745.01738</v>
      </c>
      <c r="C3352" s="1" t="str">
        <f>IFERROR(__xludf.DUMMYFUNCTION("""COMPUTED_VALUE"""),"treatment")</f>
        <v>treatment</v>
      </c>
      <c r="D3352" s="1" t="str">
        <f>IFERROR(__xludf.DUMMYFUNCTION("""COMPUTED_VALUE"""),"new_page")</f>
        <v>new_page</v>
      </c>
      <c r="E3352" s="1">
        <f>IFERROR(__xludf.DUMMYFUNCTION("""COMPUTED_VALUE"""),0.0)</f>
        <v>0</v>
      </c>
    </row>
    <row r="3353">
      <c r="A3353" s="1">
        <f>IFERROR(__xludf.DUMMYFUNCTION("""COMPUTED_VALUE"""),786907.0)</f>
        <v>786907</v>
      </c>
      <c r="B3353" s="2">
        <f>IFERROR(__xludf.DUMMYFUNCTION("""COMPUTED_VALUE"""),42747.436905800765)</f>
        <v>42747.43691</v>
      </c>
      <c r="C3353" s="1" t="str">
        <f>IFERROR(__xludf.DUMMYFUNCTION("""COMPUTED_VALUE"""),"control")</f>
        <v>control</v>
      </c>
      <c r="D3353" s="1" t="str">
        <f>IFERROR(__xludf.DUMMYFUNCTION("""COMPUTED_VALUE"""),"old_page")</f>
        <v>old_page</v>
      </c>
      <c r="E3353" s="1">
        <f>IFERROR(__xludf.DUMMYFUNCTION("""COMPUTED_VALUE"""),1.0)</f>
        <v>1</v>
      </c>
    </row>
    <row r="3354">
      <c r="A3354" s="1">
        <f>IFERROR(__xludf.DUMMYFUNCTION("""COMPUTED_VALUE"""),760100.0)</f>
        <v>760100</v>
      </c>
      <c r="B3354" s="2">
        <f>IFERROR(__xludf.DUMMYFUNCTION("""COMPUTED_VALUE"""),42746.73922259975)</f>
        <v>42746.73922</v>
      </c>
      <c r="C3354" s="1" t="str">
        <f>IFERROR(__xludf.DUMMYFUNCTION("""COMPUTED_VALUE"""),"control")</f>
        <v>control</v>
      </c>
      <c r="D3354" s="1" t="str">
        <f>IFERROR(__xludf.DUMMYFUNCTION("""COMPUTED_VALUE"""),"old_page")</f>
        <v>old_page</v>
      </c>
      <c r="E3354" s="1">
        <f>IFERROR(__xludf.DUMMYFUNCTION("""COMPUTED_VALUE"""),0.0)</f>
        <v>0</v>
      </c>
    </row>
    <row r="3355">
      <c r="A3355" s="1">
        <f>IFERROR(__xludf.DUMMYFUNCTION("""COMPUTED_VALUE"""),729569.0)</f>
        <v>729569</v>
      </c>
      <c r="B3355" s="2">
        <f>IFERROR(__xludf.DUMMYFUNCTION("""COMPUTED_VALUE"""),42754.50745844278)</f>
        <v>42754.50746</v>
      </c>
      <c r="C3355" s="1" t="str">
        <f>IFERROR(__xludf.DUMMYFUNCTION("""COMPUTED_VALUE"""),"treatment")</f>
        <v>treatment</v>
      </c>
      <c r="D3355" s="1" t="str">
        <f>IFERROR(__xludf.DUMMYFUNCTION("""COMPUTED_VALUE"""),"new_page")</f>
        <v>new_page</v>
      </c>
      <c r="E3355" s="1">
        <f>IFERROR(__xludf.DUMMYFUNCTION("""COMPUTED_VALUE"""),1.0)</f>
        <v>1</v>
      </c>
    </row>
    <row r="3356">
      <c r="A3356" s="1">
        <f>IFERROR(__xludf.DUMMYFUNCTION("""COMPUTED_VALUE"""),762705.0)</f>
        <v>762705</v>
      </c>
      <c r="B3356" s="2">
        <f>IFERROR(__xludf.DUMMYFUNCTION("""COMPUTED_VALUE"""),42754.703070103205)</f>
        <v>42754.70307</v>
      </c>
      <c r="C3356" s="1" t="str">
        <f>IFERROR(__xludf.DUMMYFUNCTION("""COMPUTED_VALUE"""),"treatment")</f>
        <v>treatment</v>
      </c>
      <c r="D3356" s="1" t="str">
        <f>IFERROR(__xludf.DUMMYFUNCTION("""COMPUTED_VALUE"""),"new_page")</f>
        <v>new_page</v>
      </c>
      <c r="E3356" s="1">
        <f>IFERROR(__xludf.DUMMYFUNCTION("""COMPUTED_VALUE"""),0.0)</f>
        <v>0</v>
      </c>
    </row>
    <row r="3357">
      <c r="A3357" s="1">
        <f>IFERROR(__xludf.DUMMYFUNCTION("""COMPUTED_VALUE"""),891097.0)</f>
        <v>891097</v>
      </c>
      <c r="B3357" s="2">
        <f>IFERROR(__xludf.DUMMYFUNCTION("""COMPUTED_VALUE"""),42741.43890432164)</f>
        <v>42741.4389</v>
      </c>
      <c r="C3357" s="1" t="str">
        <f>IFERROR(__xludf.DUMMYFUNCTION("""COMPUTED_VALUE"""),"control")</f>
        <v>control</v>
      </c>
      <c r="D3357" s="1" t="str">
        <f>IFERROR(__xludf.DUMMYFUNCTION("""COMPUTED_VALUE"""),"old_page")</f>
        <v>old_page</v>
      </c>
      <c r="E3357" s="1">
        <f>IFERROR(__xludf.DUMMYFUNCTION("""COMPUTED_VALUE"""),0.0)</f>
        <v>0</v>
      </c>
    </row>
    <row r="3358">
      <c r="A3358" s="1">
        <f>IFERROR(__xludf.DUMMYFUNCTION("""COMPUTED_VALUE"""),920235.0)</f>
        <v>920235</v>
      </c>
      <c r="B3358" s="2">
        <f>IFERROR(__xludf.DUMMYFUNCTION("""COMPUTED_VALUE"""),42748.36928998898)</f>
        <v>42748.36929</v>
      </c>
      <c r="C3358" s="1" t="str">
        <f>IFERROR(__xludf.DUMMYFUNCTION("""COMPUTED_VALUE"""),"control")</f>
        <v>control</v>
      </c>
      <c r="D3358" s="1" t="str">
        <f>IFERROR(__xludf.DUMMYFUNCTION("""COMPUTED_VALUE"""),"old_page")</f>
        <v>old_page</v>
      </c>
      <c r="E3358" s="1">
        <f>IFERROR(__xludf.DUMMYFUNCTION("""COMPUTED_VALUE"""),0.0)</f>
        <v>0</v>
      </c>
    </row>
    <row r="3359">
      <c r="A3359" s="1">
        <f>IFERROR(__xludf.DUMMYFUNCTION("""COMPUTED_VALUE"""),732908.0)</f>
        <v>732908</v>
      </c>
      <c r="B3359" s="2">
        <f>IFERROR(__xludf.DUMMYFUNCTION("""COMPUTED_VALUE"""),42746.786454871144)</f>
        <v>42746.78645</v>
      </c>
      <c r="C3359" s="1" t="str">
        <f>IFERROR(__xludf.DUMMYFUNCTION("""COMPUTED_VALUE"""),"control")</f>
        <v>control</v>
      </c>
      <c r="D3359" s="1" t="str">
        <f>IFERROR(__xludf.DUMMYFUNCTION("""COMPUTED_VALUE"""),"old_page")</f>
        <v>old_page</v>
      </c>
      <c r="E3359" s="1">
        <f>IFERROR(__xludf.DUMMYFUNCTION("""COMPUTED_VALUE"""),0.0)</f>
        <v>0</v>
      </c>
    </row>
    <row r="3360">
      <c r="A3360" s="1">
        <f>IFERROR(__xludf.DUMMYFUNCTION("""COMPUTED_VALUE"""),732441.0)</f>
        <v>732441</v>
      </c>
      <c r="B3360" s="2">
        <f>IFERROR(__xludf.DUMMYFUNCTION("""COMPUTED_VALUE"""),42746.39660114842)</f>
        <v>42746.3966</v>
      </c>
      <c r="C3360" s="1" t="str">
        <f>IFERROR(__xludf.DUMMYFUNCTION("""COMPUTED_VALUE"""),"control")</f>
        <v>control</v>
      </c>
      <c r="D3360" s="1" t="str">
        <f>IFERROR(__xludf.DUMMYFUNCTION("""COMPUTED_VALUE"""),"old_page")</f>
        <v>old_page</v>
      </c>
      <c r="E3360" s="1">
        <f>IFERROR(__xludf.DUMMYFUNCTION("""COMPUTED_VALUE"""),0.0)</f>
        <v>0</v>
      </c>
    </row>
    <row r="3361">
      <c r="A3361" s="1">
        <f>IFERROR(__xludf.DUMMYFUNCTION("""COMPUTED_VALUE"""),811608.0)</f>
        <v>811608</v>
      </c>
      <c r="B3361" s="2">
        <f>IFERROR(__xludf.DUMMYFUNCTION("""COMPUTED_VALUE"""),42757.30300271083)</f>
        <v>42757.303</v>
      </c>
      <c r="C3361" s="1" t="str">
        <f>IFERROR(__xludf.DUMMYFUNCTION("""COMPUTED_VALUE"""),"treatment")</f>
        <v>treatment</v>
      </c>
      <c r="D3361" s="1" t="str">
        <f>IFERROR(__xludf.DUMMYFUNCTION("""COMPUTED_VALUE"""),"new_page")</f>
        <v>new_page</v>
      </c>
      <c r="E3361" s="1">
        <f>IFERROR(__xludf.DUMMYFUNCTION("""COMPUTED_VALUE"""),0.0)</f>
        <v>0</v>
      </c>
    </row>
    <row r="3362">
      <c r="A3362" s="1">
        <f>IFERROR(__xludf.DUMMYFUNCTION("""COMPUTED_VALUE"""),637189.0)</f>
        <v>637189</v>
      </c>
      <c r="B3362" s="2">
        <f>IFERROR(__xludf.DUMMYFUNCTION("""COMPUTED_VALUE"""),42742.62422563389)</f>
        <v>42742.62423</v>
      </c>
      <c r="C3362" s="1" t="str">
        <f>IFERROR(__xludf.DUMMYFUNCTION("""COMPUTED_VALUE"""),"control")</f>
        <v>control</v>
      </c>
      <c r="D3362" s="1" t="str">
        <f>IFERROR(__xludf.DUMMYFUNCTION("""COMPUTED_VALUE"""),"old_page")</f>
        <v>old_page</v>
      </c>
      <c r="E3362" s="1">
        <f>IFERROR(__xludf.DUMMYFUNCTION("""COMPUTED_VALUE"""),0.0)</f>
        <v>0</v>
      </c>
    </row>
    <row r="3363">
      <c r="A3363" s="1">
        <f>IFERROR(__xludf.DUMMYFUNCTION("""COMPUTED_VALUE"""),861409.0)</f>
        <v>861409</v>
      </c>
      <c r="B3363" s="2">
        <f>IFERROR(__xludf.DUMMYFUNCTION("""COMPUTED_VALUE"""),42754.9343368131)</f>
        <v>42754.93434</v>
      </c>
      <c r="C3363" s="1" t="str">
        <f>IFERROR(__xludf.DUMMYFUNCTION("""COMPUTED_VALUE"""),"treatment")</f>
        <v>treatment</v>
      </c>
      <c r="D3363" s="1" t="str">
        <f>IFERROR(__xludf.DUMMYFUNCTION("""COMPUTED_VALUE"""),"new_page")</f>
        <v>new_page</v>
      </c>
      <c r="E3363" s="1">
        <f>IFERROR(__xludf.DUMMYFUNCTION("""COMPUTED_VALUE"""),1.0)</f>
        <v>1</v>
      </c>
    </row>
    <row r="3364">
      <c r="A3364" s="1">
        <f>IFERROR(__xludf.DUMMYFUNCTION("""COMPUTED_VALUE"""),858458.0)</f>
        <v>858458</v>
      </c>
      <c r="B3364" s="2">
        <f>IFERROR(__xludf.DUMMYFUNCTION("""COMPUTED_VALUE"""),42741.2024674025)</f>
        <v>42741.20247</v>
      </c>
      <c r="C3364" s="1" t="str">
        <f>IFERROR(__xludf.DUMMYFUNCTION("""COMPUTED_VALUE"""),"control")</f>
        <v>control</v>
      </c>
      <c r="D3364" s="1" t="str">
        <f>IFERROR(__xludf.DUMMYFUNCTION("""COMPUTED_VALUE"""),"new_page")</f>
        <v>new_page</v>
      </c>
      <c r="E3364" s="1">
        <f>IFERROR(__xludf.DUMMYFUNCTION("""COMPUTED_VALUE"""),1.0)</f>
        <v>1</v>
      </c>
    </row>
    <row r="3365">
      <c r="A3365" s="1">
        <f>IFERROR(__xludf.DUMMYFUNCTION("""COMPUTED_VALUE"""),890611.0)</f>
        <v>890611</v>
      </c>
      <c r="B3365" s="2">
        <f>IFERROR(__xludf.DUMMYFUNCTION("""COMPUTED_VALUE"""),42737.73656917026)</f>
        <v>42737.73657</v>
      </c>
      <c r="C3365" s="1" t="str">
        <f>IFERROR(__xludf.DUMMYFUNCTION("""COMPUTED_VALUE"""),"control")</f>
        <v>control</v>
      </c>
      <c r="D3365" s="1" t="str">
        <f>IFERROR(__xludf.DUMMYFUNCTION("""COMPUTED_VALUE"""),"old_page")</f>
        <v>old_page</v>
      </c>
      <c r="E3365" s="1">
        <f>IFERROR(__xludf.DUMMYFUNCTION("""COMPUTED_VALUE"""),0.0)</f>
        <v>0</v>
      </c>
    </row>
    <row r="3366">
      <c r="A3366" s="1">
        <f>IFERROR(__xludf.DUMMYFUNCTION("""COMPUTED_VALUE"""),915093.0)</f>
        <v>915093</v>
      </c>
      <c r="B3366" s="2">
        <f>IFERROR(__xludf.DUMMYFUNCTION("""COMPUTED_VALUE"""),42751.75207183094)</f>
        <v>42751.75207</v>
      </c>
      <c r="C3366" s="1" t="str">
        <f>IFERROR(__xludf.DUMMYFUNCTION("""COMPUTED_VALUE"""),"treatment")</f>
        <v>treatment</v>
      </c>
      <c r="D3366" s="1" t="str">
        <f>IFERROR(__xludf.DUMMYFUNCTION("""COMPUTED_VALUE"""),"old_page")</f>
        <v>old_page</v>
      </c>
      <c r="E3366" s="1">
        <f>IFERROR(__xludf.DUMMYFUNCTION("""COMPUTED_VALUE"""),0.0)</f>
        <v>0</v>
      </c>
    </row>
    <row r="3367">
      <c r="A3367" s="1">
        <f>IFERROR(__xludf.DUMMYFUNCTION("""COMPUTED_VALUE"""),737804.0)</f>
        <v>737804</v>
      </c>
      <c r="B3367" s="2">
        <f>IFERROR(__xludf.DUMMYFUNCTION("""COMPUTED_VALUE"""),42748.23802271368)</f>
        <v>42748.23802</v>
      </c>
      <c r="C3367" s="1" t="str">
        <f>IFERROR(__xludf.DUMMYFUNCTION("""COMPUTED_VALUE"""),"treatment")</f>
        <v>treatment</v>
      </c>
      <c r="D3367" s="1" t="str">
        <f>IFERROR(__xludf.DUMMYFUNCTION("""COMPUTED_VALUE"""),"new_page")</f>
        <v>new_page</v>
      </c>
      <c r="E3367" s="1">
        <f>IFERROR(__xludf.DUMMYFUNCTION("""COMPUTED_VALUE"""),0.0)</f>
        <v>0</v>
      </c>
    </row>
    <row r="3368">
      <c r="A3368" s="1">
        <f>IFERROR(__xludf.DUMMYFUNCTION("""COMPUTED_VALUE"""),902672.0)</f>
        <v>902672</v>
      </c>
      <c r="B3368" s="2">
        <f>IFERROR(__xludf.DUMMYFUNCTION("""COMPUTED_VALUE"""),42747.8037095389)</f>
        <v>42747.80371</v>
      </c>
      <c r="C3368" s="1" t="str">
        <f>IFERROR(__xludf.DUMMYFUNCTION("""COMPUTED_VALUE"""),"control")</f>
        <v>control</v>
      </c>
      <c r="D3368" s="1" t="str">
        <f>IFERROR(__xludf.DUMMYFUNCTION("""COMPUTED_VALUE"""),"old_page")</f>
        <v>old_page</v>
      </c>
      <c r="E3368" s="1">
        <f>IFERROR(__xludf.DUMMYFUNCTION("""COMPUTED_VALUE"""),0.0)</f>
        <v>0</v>
      </c>
    </row>
    <row r="3369">
      <c r="A3369" s="1">
        <f>IFERROR(__xludf.DUMMYFUNCTION("""COMPUTED_VALUE"""),922837.0)</f>
        <v>922837</v>
      </c>
      <c r="B3369" s="2">
        <f>IFERROR(__xludf.DUMMYFUNCTION("""COMPUTED_VALUE"""),42752.216556722735)</f>
        <v>42752.21656</v>
      </c>
      <c r="C3369" s="1" t="str">
        <f>IFERROR(__xludf.DUMMYFUNCTION("""COMPUTED_VALUE"""),"control")</f>
        <v>control</v>
      </c>
      <c r="D3369" s="1" t="str">
        <f>IFERROR(__xludf.DUMMYFUNCTION("""COMPUTED_VALUE"""),"old_page")</f>
        <v>old_page</v>
      </c>
      <c r="E3369" s="1">
        <f>IFERROR(__xludf.DUMMYFUNCTION("""COMPUTED_VALUE"""),0.0)</f>
        <v>0</v>
      </c>
    </row>
    <row r="3370">
      <c r="A3370" s="1">
        <f>IFERROR(__xludf.DUMMYFUNCTION("""COMPUTED_VALUE"""),745943.0)</f>
        <v>745943</v>
      </c>
      <c r="B3370" s="2">
        <f>IFERROR(__xludf.DUMMYFUNCTION("""COMPUTED_VALUE"""),42745.90438269837)</f>
        <v>42745.90438</v>
      </c>
      <c r="C3370" s="1" t="str">
        <f>IFERROR(__xludf.DUMMYFUNCTION("""COMPUTED_VALUE"""),"treatment")</f>
        <v>treatment</v>
      </c>
      <c r="D3370" s="1" t="str">
        <f>IFERROR(__xludf.DUMMYFUNCTION("""COMPUTED_VALUE"""),"new_page")</f>
        <v>new_page</v>
      </c>
      <c r="E3370" s="1">
        <f>IFERROR(__xludf.DUMMYFUNCTION("""COMPUTED_VALUE"""),0.0)</f>
        <v>0</v>
      </c>
    </row>
    <row r="3371">
      <c r="A3371" s="1">
        <f>IFERROR(__xludf.DUMMYFUNCTION("""COMPUTED_VALUE"""),711306.0)</f>
        <v>711306</v>
      </c>
      <c r="B3371" s="2">
        <f>IFERROR(__xludf.DUMMYFUNCTION("""COMPUTED_VALUE"""),42753.10019035409)</f>
        <v>42753.10019</v>
      </c>
      <c r="C3371" s="1" t="str">
        <f>IFERROR(__xludf.DUMMYFUNCTION("""COMPUTED_VALUE"""),"treatment")</f>
        <v>treatment</v>
      </c>
      <c r="D3371" s="1" t="str">
        <f>IFERROR(__xludf.DUMMYFUNCTION("""COMPUTED_VALUE"""),"new_page")</f>
        <v>new_page</v>
      </c>
      <c r="E3371" s="1">
        <f>IFERROR(__xludf.DUMMYFUNCTION("""COMPUTED_VALUE"""),1.0)</f>
        <v>1</v>
      </c>
    </row>
    <row r="3372">
      <c r="A3372" s="1">
        <f>IFERROR(__xludf.DUMMYFUNCTION("""COMPUTED_VALUE"""),731708.0)</f>
        <v>731708</v>
      </c>
      <c r="B3372" s="2">
        <f>IFERROR(__xludf.DUMMYFUNCTION("""COMPUTED_VALUE"""),42741.8558165047)</f>
        <v>42741.85582</v>
      </c>
      <c r="C3372" s="1" t="str">
        <f>IFERROR(__xludf.DUMMYFUNCTION("""COMPUTED_VALUE"""),"treatment")</f>
        <v>treatment</v>
      </c>
      <c r="D3372" s="1" t="str">
        <f>IFERROR(__xludf.DUMMYFUNCTION("""COMPUTED_VALUE"""),"new_page")</f>
        <v>new_page</v>
      </c>
      <c r="E3372" s="1">
        <f>IFERROR(__xludf.DUMMYFUNCTION("""COMPUTED_VALUE"""),1.0)</f>
        <v>1</v>
      </c>
    </row>
    <row r="3373">
      <c r="A3373" s="1">
        <f>IFERROR(__xludf.DUMMYFUNCTION("""COMPUTED_VALUE"""),843989.0)</f>
        <v>843989</v>
      </c>
      <c r="B3373" s="2">
        <f>IFERROR(__xludf.DUMMYFUNCTION("""COMPUTED_VALUE"""),42753.3495115016)</f>
        <v>42753.34951</v>
      </c>
      <c r="C3373" s="1" t="str">
        <f>IFERROR(__xludf.DUMMYFUNCTION("""COMPUTED_VALUE"""),"control")</f>
        <v>control</v>
      </c>
      <c r="D3373" s="1" t="str">
        <f>IFERROR(__xludf.DUMMYFUNCTION("""COMPUTED_VALUE"""),"old_page")</f>
        <v>old_page</v>
      </c>
      <c r="E3373" s="1">
        <f>IFERROR(__xludf.DUMMYFUNCTION("""COMPUTED_VALUE"""),1.0)</f>
        <v>1</v>
      </c>
    </row>
    <row r="3374">
      <c r="A3374" s="1">
        <f>IFERROR(__xludf.DUMMYFUNCTION("""COMPUTED_VALUE"""),901344.0)</f>
        <v>901344</v>
      </c>
      <c r="B3374" s="2">
        <f>IFERROR(__xludf.DUMMYFUNCTION("""COMPUTED_VALUE"""),42738.53597218127)</f>
        <v>42738.53597</v>
      </c>
      <c r="C3374" s="1" t="str">
        <f>IFERROR(__xludf.DUMMYFUNCTION("""COMPUTED_VALUE"""),"control")</f>
        <v>control</v>
      </c>
      <c r="D3374" s="1" t="str">
        <f>IFERROR(__xludf.DUMMYFUNCTION("""COMPUTED_VALUE"""),"old_page")</f>
        <v>old_page</v>
      </c>
      <c r="E3374" s="1">
        <f>IFERROR(__xludf.DUMMYFUNCTION("""COMPUTED_VALUE"""),0.0)</f>
        <v>0</v>
      </c>
    </row>
    <row r="3375">
      <c r="A3375" s="1">
        <f>IFERROR(__xludf.DUMMYFUNCTION("""COMPUTED_VALUE"""),659105.0)</f>
        <v>659105</v>
      </c>
      <c r="B3375" s="2">
        <f>IFERROR(__xludf.DUMMYFUNCTION("""COMPUTED_VALUE"""),42745.084634254)</f>
        <v>42745.08463</v>
      </c>
      <c r="C3375" s="1" t="str">
        <f>IFERROR(__xludf.DUMMYFUNCTION("""COMPUTED_VALUE"""),"treatment")</f>
        <v>treatment</v>
      </c>
      <c r="D3375" s="1" t="str">
        <f>IFERROR(__xludf.DUMMYFUNCTION("""COMPUTED_VALUE"""),"new_page")</f>
        <v>new_page</v>
      </c>
      <c r="E3375" s="1">
        <f>IFERROR(__xludf.DUMMYFUNCTION("""COMPUTED_VALUE"""),0.0)</f>
        <v>0</v>
      </c>
    </row>
    <row r="3376">
      <c r="A3376" s="1">
        <f>IFERROR(__xludf.DUMMYFUNCTION("""COMPUTED_VALUE"""),701931.0)</f>
        <v>701931</v>
      </c>
      <c r="B3376" s="2">
        <f>IFERROR(__xludf.DUMMYFUNCTION("""COMPUTED_VALUE"""),42759.122500695325)</f>
        <v>42759.1225</v>
      </c>
      <c r="C3376" s="1" t="str">
        <f>IFERROR(__xludf.DUMMYFUNCTION("""COMPUTED_VALUE"""),"treatment")</f>
        <v>treatment</v>
      </c>
      <c r="D3376" s="1" t="str">
        <f>IFERROR(__xludf.DUMMYFUNCTION("""COMPUTED_VALUE"""),"new_page")</f>
        <v>new_page</v>
      </c>
      <c r="E3376" s="1">
        <f>IFERROR(__xludf.DUMMYFUNCTION("""COMPUTED_VALUE"""),0.0)</f>
        <v>0</v>
      </c>
    </row>
    <row r="3377">
      <c r="A3377" s="1">
        <f>IFERROR(__xludf.DUMMYFUNCTION("""COMPUTED_VALUE"""),920914.0)</f>
        <v>920914</v>
      </c>
      <c r="B3377" s="2">
        <f>IFERROR(__xludf.DUMMYFUNCTION("""COMPUTED_VALUE"""),42758.36356189708)</f>
        <v>42758.36356</v>
      </c>
      <c r="C3377" s="1" t="str">
        <f>IFERROR(__xludf.DUMMYFUNCTION("""COMPUTED_VALUE"""),"treatment")</f>
        <v>treatment</v>
      </c>
      <c r="D3377" s="1" t="str">
        <f>IFERROR(__xludf.DUMMYFUNCTION("""COMPUTED_VALUE"""),"new_page")</f>
        <v>new_page</v>
      </c>
      <c r="E3377" s="1">
        <f>IFERROR(__xludf.DUMMYFUNCTION("""COMPUTED_VALUE"""),0.0)</f>
        <v>0</v>
      </c>
    </row>
    <row r="3378">
      <c r="A3378" s="1">
        <f>IFERROR(__xludf.DUMMYFUNCTION("""COMPUTED_VALUE"""),717572.0)</f>
        <v>717572</v>
      </c>
      <c r="B3378" s="2">
        <f>IFERROR(__xludf.DUMMYFUNCTION("""COMPUTED_VALUE"""),42739.862812257925)</f>
        <v>42739.86281</v>
      </c>
      <c r="C3378" s="1" t="str">
        <f>IFERROR(__xludf.DUMMYFUNCTION("""COMPUTED_VALUE"""),"treatment")</f>
        <v>treatment</v>
      </c>
      <c r="D3378" s="1" t="str">
        <f>IFERROR(__xludf.DUMMYFUNCTION("""COMPUTED_VALUE"""),"new_page")</f>
        <v>new_page</v>
      </c>
      <c r="E3378" s="1">
        <f>IFERROR(__xludf.DUMMYFUNCTION("""COMPUTED_VALUE"""),1.0)</f>
        <v>1</v>
      </c>
    </row>
    <row r="3379">
      <c r="A3379" s="1">
        <f>IFERROR(__xludf.DUMMYFUNCTION("""COMPUTED_VALUE"""),757325.0)</f>
        <v>757325</v>
      </c>
      <c r="B3379" s="2">
        <f>IFERROR(__xludf.DUMMYFUNCTION("""COMPUTED_VALUE"""),42743.593494787696)</f>
        <v>42743.59349</v>
      </c>
      <c r="C3379" s="1" t="str">
        <f>IFERROR(__xludf.DUMMYFUNCTION("""COMPUTED_VALUE"""),"control")</f>
        <v>control</v>
      </c>
      <c r="D3379" s="1" t="str">
        <f>IFERROR(__xludf.DUMMYFUNCTION("""COMPUTED_VALUE"""),"old_page")</f>
        <v>old_page</v>
      </c>
      <c r="E3379" s="1">
        <f>IFERROR(__xludf.DUMMYFUNCTION("""COMPUTED_VALUE"""),0.0)</f>
        <v>0</v>
      </c>
    </row>
    <row r="3380">
      <c r="A3380" s="1">
        <f>IFERROR(__xludf.DUMMYFUNCTION("""COMPUTED_VALUE"""),712327.0)</f>
        <v>712327</v>
      </c>
      <c r="B3380" s="2">
        <f>IFERROR(__xludf.DUMMYFUNCTION("""COMPUTED_VALUE"""),42741.90985329162)</f>
        <v>42741.90985</v>
      </c>
      <c r="C3380" s="1" t="str">
        <f>IFERROR(__xludf.DUMMYFUNCTION("""COMPUTED_VALUE"""),"treatment")</f>
        <v>treatment</v>
      </c>
      <c r="D3380" s="1" t="str">
        <f>IFERROR(__xludf.DUMMYFUNCTION("""COMPUTED_VALUE"""),"new_page")</f>
        <v>new_page</v>
      </c>
      <c r="E3380" s="1">
        <f>IFERROR(__xludf.DUMMYFUNCTION("""COMPUTED_VALUE"""),0.0)</f>
        <v>0</v>
      </c>
    </row>
    <row r="3381">
      <c r="A3381" s="1">
        <f>IFERROR(__xludf.DUMMYFUNCTION("""COMPUTED_VALUE"""),860794.0)</f>
        <v>860794</v>
      </c>
      <c r="B3381" s="2">
        <f>IFERROR(__xludf.DUMMYFUNCTION("""COMPUTED_VALUE"""),42743.96633620978)</f>
        <v>42743.96634</v>
      </c>
      <c r="C3381" s="1" t="str">
        <f>IFERROR(__xludf.DUMMYFUNCTION("""COMPUTED_VALUE"""),"treatment")</f>
        <v>treatment</v>
      </c>
      <c r="D3381" s="1" t="str">
        <f>IFERROR(__xludf.DUMMYFUNCTION("""COMPUTED_VALUE"""),"new_page")</f>
        <v>new_page</v>
      </c>
      <c r="E3381" s="1">
        <f>IFERROR(__xludf.DUMMYFUNCTION("""COMPUTED_VALUE"""),0.0)</f>
        <v>0</v>
      </c>
    </row>
    <row r="3382">
      <c r="A3382" s="1">
        <f>IFERROR(__xludf.DUMMYFUNCTION("""COMPUTED_VALUE"""),922153.0)</f>
        <v>922153</v>
      </c>
      <c r="B3382" s="2">
        <f>IFERROR(__xludf.DUMMYFUNCTION("""COMPUTED_VALUE"""),42743.38121782471)</f>
        <v>42743.38122</v>
      </c>
      <c r="C3382" s="1" t="str">
        <f>IFERROR(__xludf.DUMMYFUNCTION("""COMPUTED_VALUE"""),"control")</f>
        <v>control</v>
      </c>
      <c r="D3382" s="1" t="str">
        <f>IFERROR(__xludf.DUMMYFUNCTION("""COMPUTED_VALUE"""),"old_page")</f>
        <v>old_page</v>
      </c>
      <c r="E3382" s="1">
        <f>IFERROR(__xludf.DUMMYFUNCTION("""COMPUTED_VALUE"""),0.0)</f>
        <v>0</v>
      </c>
    </row>
    <row r="3383">
      <c r="A3383" s="1">
        <f>IFERROR(__xludf.DUMMYFUNCTION("""COMPUTED_VALUE"""),655981.0)</f>
        <v>655981</v>
      </c>
      <c r="B3383" s="2">
        <f>IFERROR(__xludf.DUMMYFUNCTION("""COMPUTED_VALUE"""),42756.40541335459)</f>
        <v>42756.40541</v>
      </c>
      <c r="C3383" s="1" t="str">
        <f>IFERROR(__xludf.DUMMYFUNCTION("""COMPUTED_VALUE"""),"treatment")</f>
        <v>treatment</v>
      </c>
      <c r="D3383" s="1" t="str">
        <f>IFERROR(__xludf.DUMMYFUNCTION("""COMPUTED_VALUE"""),"new_page")</f>
        <v>new_page</v>
      </c>
      <c r="E3383" s="1">
        <f>IFERROR(__xludf.DUMMYFUNCTION("""COMPUTED_VALUE"""),1.0)</f>
        <v>1</v>
      </c>
    </row>
    <row r="3384">
      <c r="A3384" s="1">
        <f>IFERROR(__xludf.DUMMYFUNCTION("""COMPUTED_VALUE"""),860202.0)</f>
        <v>860202</v>
      </c>
      <c r="B3384" s="2">
        <f>IFERROR(__xludf.DUMMYFUNCTION("""COMPUTED_VALUE"""),42755.693167940866)</f>
        <v>42755.69317</v>
      </c>
      <c r="C3384" s="1" t="str">
        <f>IFERROR(__xludf.DUMMYFUNCTION("""COMPUTED_VALUE"""),"treatment")</f>
        <v>treatment</v>
      </c>
      <c r="D3384" s="1" t="str">
        <f>IFERROR(__xludf.DUMMYFUNCTION("""COMPUTED_VALUE"""),"new_page")</f>
        <v>new_page</v>
      </c>
      <c r="E3384" s="1">
        <f>IFERROR(__xludf.DUMMYFUNCTION("""COMPUTED_VALUE"""),0.0)</f>
        <v>0</v>
      </c>
    </row>
    <row r="3385">
      <c r="A3385" s="1">
        <f>IFERROR(__xludf.DUMMYFUNCTION("""COMPUTED_VALUE"""),899129.0)</f>
        <v>899129</v>
      </c>
      <c r="B3385" s="2">
        <f>IFERROR(__xludf.DUMMYFUNCTION("""COMPUTED_VALUE"""),42744.16139885853)</f>
        <v>42744.1614</v>
      </c>
      <c r="C3385" s="1" t="str">
        <f>IFERROR(__xludf.DUMMYFUNCTION("""COMPUTED_VALUE"""),"treatment")</f>
        <v>treatment</v>
      </c>
      <c r="D3385" s="1" t="str">
        <f>IFERROR(__xludf.DUMMYFUNCTION("""COMPUTED_VALUE"""),"new_page")</f>
        <v>new_page</v>
      </c>
      <c r="E3385" s="1">
        <f>IFERROR(__xludf.DUMMYFUNCTION("""COMPUTED_VALUE"""),0.0)</f>
        <v>0</v>
      </c>
    </row>
    <row r="3386">
      <c r="A3386" s="1">
        <f>IFERROR(__xludf.DUMMYFUNCTION("""COMPUTED_VALUE"""),819928.0)</f>
        <v>819928</v>
      </c>
      <c r="B3386" s="2">
        <f>IFERROR(__xludf.DUMMYFUNCTION("""COMPUTED_VALUE"""),42748.159804818366)</f>
        <v>42748.1598</v>
      </c>
      <c r="C3386" s="1" t="str">
        <f>IFERROR(__xludf.DUMMYFUNCTION("""COMPUTED_VALUE"""),"treatment")</f>
        <v>treatment</v>
      </c>
      <c r="D3386" s="1" t="str">
        <f>IFERROR(__xludf.DUMMYFUNCTION("""COMPUTED_VALUE"""),"new_page")</f>
        <v>new_page</v>
      </c>
      <c r="E3386" s="1">
        <f>IFERROR(__xludf.DUMMYFUNCTION("""COMPUTED_VALUE"""),1.0)</f>
        <v>1</v>
      </c>
    </row>
    <row r="3387">
      <c r="A3387" s="1">
        <f>IFERROR(__xludf.DUMMYFUNCTION("""COMPUTED_VALUE"""),691147.0)</f>
        <v>691147</v>
      </c>
      <c r="B3387" s="2">
        <f>IFERROR(__xludf.DUMMYFUNCTION("""COMPUTED_VALUE"""),42748.25570229353)</f>
        <v>42748.2557</v>
      </c>
      <c r="C3387" s="1" t="str">
        <f>IFERROR(__xludf.DUMMYFUNCTION("""COMPUTED_VALUE"""),"treatment")</f>
        <v>treatment</v>
      </c>
      <c r="D3387" s="1" t="str">
        <f>IFERROR(__xludf.DUMMYFUNCTION("""COMPUTED_VALUE"""),"new_page")</f>
        <v>new_page</v>
      </c>
      <c r="E3387" s="1">
        <f>IFERROR(__xludf.DUMMYFUNCTION("""COMPUTED_VALUE"""),0.0)</f>
        <v>0</v>
      </c>
    </row>
    <row r="3388">
      <c r="A3388" s="1">
        <f>IFERROR(__xludf.DUMMYFUNCTION("""COMPUTED_VALUE"""),785147.0)</f>
        <v>785147</v>
      </c>
      <c r="B3388" s="2">
        <f>IFERROR(__xludf.DUMMYFUNCTION("""COMPUTED_VALUE"""),42754.94209634677)</f>
        <v>42754.9421</v>
      </c>
      <c r="C3388" s="1" t="str">
        <f>IFERROR(__xludf.DUMMYFUNCTION("""COMPUTED_VALUE"""),"control")</f>
        <v>control</v>
      </c>
      <c r="D3388" s="1" t="str">
        <f>IFERROR(__xludf.DUMMYFUNCTION("""COMPUTED_VALUE"""),"old_page")</f>
        <v>old_page</v>
      </c>
      <c r="E3388" s="1">
        <f>IFERROR(__xludf.DUMMYFUNCTION("""COMPUTED_VALUE"""),0.0)</f>
        <v>0</v>
      </c>
    </row>
    <row r="3389">
      <c r="A3389" s="1">
        <f>IFERROR(__xludf.DUMMYFUNCTION("""COMPUTED_VALUE"""),646795.0)</f>
        <v>646795</v>
      </c>
      <c r="B3389" s="2">
        <f>IFERROR(__xludf.DUMMYFUNCTION("""COMPUTED_VALUE"""),42740.63287744001)</f>
        <v>42740.63288</v>
      </c>
      <c r="C3389" s="1" t="str">
        <f>IFERROR(__xludf.DUMMYFUNCTION("""COMPUTED_VALUE"""),"treatment")</f>
        <v>treatment</v>
      </c>
      <c r="D3389" s="1" t="str">
        <f>IFERROR(__xludf.DUMMYFUNCTION("""COMPUTED_VALUE"""),"new_page")</f>
        <v>new_page</v>
      </c>
      <c r="E3389" s="1">
        <f>IFERROR(__xludf.DUMMYFUNCTION("""COMPUTED_VALUE"""),0.0)</f>
        <v>0</v>
      </c>
    </row>
    <row r="3390">
      <c r="A3390" s="1">
        <f>IFERROR(__xludf.DUMMYFUNCTION("""COMPUTED_VALUE"""),665343.0)</f>
        <v>665343</v>
      </c>
      <c r="B3390" s="2">
        <f>IFERROR(__xludf.DUMMYFUNCTION("""COMPUTED_VALUE"""),42757.702995353764)</f>
        <v>42757.703</v>
      </c>
      <c r="C3390" s="1" t="str">
        <f>IFERROR(__xludf.DUMMYFUNCTION("""COMPUTED_VALUE"""),"treatment")</f>
        <v>treatment</v>
      </c>
      <c r="D3390" s="1" t="str">
        <f>IFERROR(__xludf.DUMMYFUNCTION("""COMPUTED_VALUE"""),"new_page")</f>
        <v>new_page</v>
      </c>
      <c r="E3390" s="1">
        <f>IFERROR(__xludf.DUMMYFUNCTION("""COMPUTED_VALUE"""),0.0)</f>
        <v>0</v>
      </c>
    </row>
    <row r="3391">
      <c r="A3391" s="1">
        <f>IFERROR(__xludf.DUMMYFUNCTION("""COMPUTED_VALUE"""),893451.0)</f>
        <v>893451</v>
      </c>
      <c r="B3391" s="2">
        <f>IFERROR(__xludf.DUMMYFUNCTION("""COMPUTED_VALUE"""),42749.73071268499)</f>
        <v>42749.73071</v>
      </c>
      <c r="C3391" s="1" t="str">
        <f>IFERROR(__xludf.DUMMYFUNCTION("""COMPUTED_VALUE"""),"treatment")</f>
        <v>treatment</v>
      </c>
      <c r="D3391" s="1" t="str">
        <f>IFERROR(__xludf.DUMMYFUNCTION("""COMPUTED_VALUE"""),"new_page")</f>
        <v>new_page</v>
      </c>
      <c r="E3391" s="1">
        <f>IFERROR(__xludf.DUMMYFUNCTION("""COMPUTED_VALUE"""),0.0)</f>
        <v>0</v>
      </c>
    </row>
    <row r="3392">
      <c r="A3392" s="1">
        <f>IFERROR(__xludf.DUMMYFUNCTION("""COMPUTED_VALUE"""),726269.0)</f>
        <v>726269</v>
      </c>
      <c r="B3392" s="2">
        <f>IFERROR(__xludf.DUMMYFUNCTION("""COMPUTED_VALUE"""),42758.934281585454)</f>
        <v>42758.93428</v>
      </c>
      <c r="C3392" s="1" t="str">
        <f>IFERROR(__xludf.DUMMYFUNCTION("""COMPUTED_VALUE"""),"treatment")</f>
        <v>treatment</v>
      </c>
      <c r="D3392" s="1" t="str">
        <f>IFERROR(__xludf.DUMMYFUNCTION("""COMPUTED_VALUE"""),"new_page")</f>
        <v>new_page</v>
      </c>
      <c r="E3392" s="1">
        <f>IFERROR(__xludf.DUMMYFUNCTION("""COMPUTED_VALUE"""),0.0)</f>
        <v>0</v>
      </c>
    </row>
    <row r="3393">
      <c r="A3393" s="1">
        <f>IFERROR(__xludf.DUMMYFUNCTION("""COMPUTED_VALUE"""),684431.0)</f>
        <v>684431</v>
      </c>
      <c r="B3393" s="2">
        <f>IFERROR(__xludf.DUMMYFUNCTION("""COMPUTED_VALUE"""),42753.29267690883)</f>
        <v>42753.29268</v>
      </c>
      <c r="C3393" s="1" t="str">
        <f>IFERROR(__xludf.DUMMYFUNCTION("""COMPUTED_VALUE"""),"treatment")</f>
        <v>treatment</v>
      </c>
      <c r="D3393" s="1" t="str">
        <f>IFERROR(__xludf.DUMMYFUNCTION("""COMPUTED_VALUE"""),"new_page")</f>
        <v>new_page</v>
      </c>
      <c r="E3393" s="1">
        <f>IFERROR(__xludf.DUMMYFUNCTION("""COMPUTED_VALUE"""),0.0)</f>
        <v>0</v>
      </c>
    </row>
    <row r="3394">
      <c r="A3394" s="1">
        <f>IFERROR(__xludf.DUMMYFUNCTION("""COMPUTED_VALUE"""),886123.0)</f>
        <v>886123</v>
      </c>
      <c r="B3394" s="2">
        <f>IFERROR(__xludf.DUMMYFUNCTION("""COMPUTED_VALUE"""),42743.37777036278)</f>
        <v>42743.37777</v>
      </c>
      <c r="C3394" s="1" t="str">
        <f>IFERROR(__xludf.DUMMYFUNCTION("""COMPUTED_VALUE"""),"control")</f>
        <v>control</v>
      </c>
      <c r="D3394" s="1" t="str">
        <f>IFERROR(__xludf.DUMMYFUNCTION("""COMPUTED_VALUE"""),"old_page")</f>
        <v>old_page</v>
      </c>
      <c r="E3394" s="1">
        <f>IFERROR(__xludf.DUMMYFUNCTION("""COMPUTED_VALUE"""),0.0)</f>
        <v>0</v>
      </c>
    </row>
    <row r="3395">
      <c r="A3395" s="1">
        <f>IFERROR(__xludf.DUMMYFUNCTION("""COMPUTED_VALUE"""),893496.0)</f>
        <v>893496</v>
      </c>
      <c r="B3395" s="2">
        <f>IFERROR(__xludf.DUMMYFUNCTION("""COMPUTED_VALUE"""),42742.11658381564)</f>
        <v>42742.11658</v>
      </c>
      <c r="C3395" s="1" t="str">
        <f>IFERROR(__xludf.DUMMYFUNCTION("""COMPUTED_VALUE"""),"treatment")</f>
        <v>treatment</v>
      </c>
      <c r="D3395" s="1" t="str">
        <f>IFERROR(__xludf.DUMMYFUNCTION("""COMPUTED_VALUE"""),"new_page")</f>
        <v>new_page</v>
      </c>
      <c r="E3395" s="1">
        <f>IFERROR(__xludf.DUMMYFUNCTION("""COMPUTED_VALUE"""),0.0)</f>
        <v>0</v>
      </c>
    </row>
    <row r="3396">
      <c r="A3396" s="1">
        <f>IFERROR(__xludf.DUMMYFUNCTION("""COMPUTED_VALUE"""),835310.0)</f>
        <v>835310</v>
      </c>
      <c r="B3396" s="2">
        <f>IFERROR(__xludf.DUMMYFUNCTION("""COMPUTED_VALUE"""),42745.72201910312)</f>
        <v>42745.72202</v>
      </c>
      <c r="C3396" s="1" t="str">
        <f>IFERROR(__xludf.DUMMYFUNCTION("""COMPUTED_VALUE"""),"control")</f>
        <v>control</v>
      </c>
      <c r="D3396" s="1" t="str">
        <f>IFERROR(__xludf.DUMMYFUNCTION("""COMPUTED_VALUE"""),"old_page")</f>
        <v>old_page</v>
      </c>
      <c r="E3396" s="1">
        <f>IFERROR(__xludf.DUMMYFUNCTION("""COMPUTED_VALUE"""),0.0)</f>
        <v>0</v>
      </c>
    </row>
    <row r="3397">
      <c r="A3397" s="1">
        <f>IFERROR(__xludf.DUMMYFUNCTION("""COMPUTED_VALUE"""),794561.0)</f>
        <v>794561</v>
      </c>
      <c r="B3397" s="2">
        <f>IFERROR(__xludf.DUMMYFUNCTION("""COMPUTED_VALUE"""),42745.93456218575)</f>
        <v>42745.93456</v>
      </c>
      <c r="C3397" s="1" t="str">
        <f>IFERROR(__xludf.DUMMYFUNCTION("""COMPUTED_VALUE"""),"treatment")</f>
        <v>treatment</v>
      </c>
      <c r="D3397" s="1" t="str">
        <f>IFERROR(__xludf.DUMMYFUNCTION("""COMPUTED_VALUE"""),"new_page")</f>
        <v>new_page</v>
      </c>
      <c r="E3397" s="1">
        <f>IFERROR(__xludf.DUMMYFUNCTION("""COMPUTED_VALUE"""),0.0)</f>
        <v>0</v>
      </c>
    </row>
    <row r="3398">
      <c r="A3398" s="1">
        <f>IFERROR(__xludf.DUMMYFUNCTION("""COMPUTED_VALUE"""),766662.0)</f>
        <v>766662</v>
      </c>
      <c r="B3398" s="2">
        <f>IFERROR(__xludf.DUMMYFUNCTION("""COMPUTED_VALUE"""),42741.073025625374)</f>
        <v>42741.07303</v>
      </c>
      <c r="C3398" s="1" t="str">
        <f>IFERROR(__xludf.DUMMYFUNCTION("""COMPUTED_VALUE"""),"treatment")</f>
        <v>treatment</v>
      </c>
      <c r="D3398" s="1" t="str">
        <f>IFERROR(__xludf.DUMMYFUNCTION("""COMPUTED_VALUE"""),"new_page")</f>
        <v>new_page</v>
      </c>
      <c r="E3398" s="1">
        <f>IFERROR(__xludf.DUMMYFUNCTION("""COMPUTED_VALUE"""),0.0)</f>
        <v>0</v>
      </c>
    </row>
    <row r="3399">
      <c r="A3399" s="1">
        <f>IFERROR(__xludf.DUMMYFUNCTION("""COMPUTED_VALUE"""),829726.0)</f>
        <v>829726</v>
      </c>
      <c r="B3399" s="2">
        <f>IFERROR(__xludf.DUMMYFUNCTION("""COMPUTED_VALUE"""),42757.56933913411)</f>
        <v>42757.56934</v>
      </c>
      <c r="C3399" s="1" t="str">
        <f>IFERROR(__xludf.DUMMYFUNCTION("""COMPUTED_VALUE"""),"control")</f>
        <v>control</v>
      </c>
      <c r="D3399" s="1" t="str">
        <f>IFERROR(__xludf.DUMMYFUNCTION("""COMPUTED_VALUE"""),"old_page")</f>
        <v>old_page</v>
      </c>
      <c r="E3399" s="1">
        <f>IFERROR(__xludf.DUMMYFUNCTION("""COMPUTED_VALUE"""),0.0)</f>
        <v>0</v>
      </c>
    </row>
    <row r="3400">
      <c r="A3400" s="1">
        <f>IFERROR(__xludf.DUMMYFUNCTION("""COMPUTED_VALUE"""),866947.0)</f>
        <v>866947</v>
      </c>
      <c r="B3400" s="2">
        <f>IFERROR(__xludf.DUMMYFUNCTION("""COMPUTED_VALUE"""),42752.72382911402)</f>
        <v>42752.72383</v>
      </c>
      <c r="C3400" s="1" t="str">
        <f>IFERROR(__xludf.DUMMYFUNCTION("""COMPUTED_VALUE"""),"control")</f>
        <v>control</v>
      </c>
      <c r="D3400" s="1" t="str">
        <f>IFERROR(__xludf.DUMMYFUNCTION("""COMPUTED_VALUE"""),"old_page")</f>
        <v>old_page</v>
      </c>
      <c r="E3400" s="1">
        <f>IFERROR(__xludf.DUMMYFUNCTION("""COMPUTED_VALUE"""),0.0)</f>
        <v>0</v>
      </c>
    </row>
    <row r="3401">
      <c r="A3401" s="1">
        <f>IFERROR(__xludf.DUMMYFUNCTION("""COMPUTED_VALUE"""),810734.0)</f>
        <v>810734</v>
      </c>
      <c r="B3401" s="2">
        <f>IFERROR(__xludf.DUMMYFUNCTION("""COMPUTED_VALUE"""),42755.757691803934)</f>
        <v>42755.75769</v>
      </c>
      <c r="C3401" s="1" t="str">
        <f>IFERROR(__xludf.DUMMYFUNCTION("""COMPUTED_VALUE"""),"control")</f>
        <v>control</v>
      </c>
      <c r="D3401" s="1" t="str">
        <f>IFERROR(__xludf.DUMMYFUNCTION("""COMPUTED_VALUE"""),"old_page")</f>
        <v>old_page</v>
      </c>
      <c r="E3401" s="1">
        <f>IFERROR(__xludf.DUMMYFUNCTION("""COMPUTED_VALUE"""),1.0)</f>
        <v>1</v>
      </c>
    </row>
    <row r="3402">
      <c r="A3402" s="1">
        <f>IFERROR(__xludf.DUMMYFUNCTION("""COMPUTED_VALUE"""),726967.0)</f>
        <v>726967</v>
      </c>
      <c r="B3402" s="2">
        <f>IFERROR(__xludf.DUMMYFUNCTION("""COMPUTED_VALUE"""),42739.73957533565)</f>
        <v>42739.73958</v>
      </c>
      <c r="C3402" s="1" t="str">
        <f>IFERROR(__xludf.DUMMYFUNCTION("""COMPUTED_VALUE"""),"control")</f>
        <v>control</v>
      </c>
      <c r="D3402" s="1" t="str">
        <f>IFERROR(__xludf.DUMMYFUNCTION("""COMPUTED_VALUE"""),"old_page")</f>
        <v>old_page</v>
      </c>
      <c r="E3402" s="1">
        <f>IFERROR(__xludf.DUMMYFUNCTION("""COMPUTED_VALUE"""),0.0)</f>
        <v>0</v>
      </c>
    </row>
    <row r="3403">
      <c r="A3403" s="1">
        <f>IFERROR(__xludf.DUMMYFUNCTION("""COMPUTED_VALUE"""),871148.0)</f>
        <v>871148</v>
      </c>
      <c r="B3403" s="2">
        <f>IFERROR(__xludf.DUMMYFUNCTION("""COMPUTED_VALUE"""),42750.37749285186)</f>
        <v>42750.37749</v>
      </c>
      <c r="C3403" s="1" t="str">
        <f>IFERROR(__xludf.DUMMYFUNCTION("""COMPUTED_VALUE"""),"control")</f>
        <v>control</v>
      </c>
      <c r="D3403" s="1" t="str">
        <f>IFERROR(__xludf.DUMMYFUNCTION("""COMPUTED_VALUE"""),"old_page")</f>
        <v>old_page</v>
      </c>
      <c r="E3403" s="1">
        <f>IFERROR(__xludf.DUMMYFUNCTION("""COMPUTED_VALUE"""),1.0)</f>
        <v>1</v>
      </c>
    </row>
    <row r="3404">
      <c r="A3404" s="1">
        <f>IFERROR(__xludf.DUMMYFUNCTION("""COMPUTED_VALUE"""),639760.0)</f>
        <v>639760</v>
      </c>
      <c r="B3404" s="2">
        <f>IFERROR(__xludf.DUMMYFUNCTION("""COMPUTED_VALUE"""),42743.504769346815)</f>
        <v>42743.50477</v>
      </c>
      <c r="C3404" s="1" t="str">
        <f>IFERROR(__xludf.DUMMYFUNCTION("""COMPUTED_VALUE"""),"treatment")</f>
        <v>treatment</v>
      </c>
      <c r="D3404" s="1" t="str">
        <f>IFERROR(__xludf.DUMMYFUNCTION("""COMPUTED_VALUE"""),"new_page")</f>
        <v>new_page</v>
      </c>
      <c r="E3404" s="1">
        <f>IFERROR(__xludf.DUMMYFUNCTION("""COMPUTED_VALUE"""),0.0)</f>
        <v>0</v>
      </c>
    </row>
    <row r="3405">
      <c r="A3405" s="1">
        <f>IFERROR(__xludf.DUMMYFUNCTION("""COMPUTED_VALUE"""),873055.0)</f>
        <v>873055</v>
      </c>
      <c r="B3405" s="2">
        <f>IFERROR(__xludf.DUMMYFUNCTION("""COMPUTED_VALUE"""),42756.92021731464)</f>
        <v>42756.92022</v>
      </c>
      <c r="C3405" s="1" t="str">
        <f>IFERROR(__xludf.DUMMYFUNCTION("""COMPUTED_VALUE"""),"treatment")</f>
        <v>treatment</v>
      </c>
      <c r="D3405" s="1" t="str">
        <f>IFERROR(__xludf.DUMMYFUNCTION("""COMPUTED_VALUE"""),"new_page")</f>
        <v>new_page</v>
      </c>
      <c r="E3405" s="1">
        <f>IFERROR(__xludf.DUMMYFUNCTION("""COMPUTED_VALUE"""),0.0)</f>
        <v>0</v>
      </c>
    </row>
    <row r="3406">
      <c r="A3406" s="1">
        <f>IFERROR(__xludf.DUMMYFUNCTION("""COMPUTED_VALUE"""),774937.0)</f>
        <v>774937</v>
      </c>
      <c r="B3406" s="2">
        <f>IFERROR(__xludf.DUMMYFUNCTION("""COMPUTED_VALUE"""),42758.38990164318)</f>
        <v>42758.3899</v>
      </c>
      <c r="C3406" s="1" t="str">
        <f>IFERROR(__xludf.DUMMYFUNCTION("""COMPUTED_VALUE"""),"control")</f>
        <v>control</v>
      </c>
      <c r="D3406" s="1" t="str">
        <f>IFERROR(__xludf.DUMMYFUNCTION("""COMPUTED_VALUE"""),"old_page")</f>
        <v>old_page</v>
      </c>
      <c r="E3406" s="1">
        <f>IFERROR(__xludf.DUMMYFUNCTION("""COMPUTED_VALUE"""),0.0)</f>
        <v>0</v>
      </c>
    </row>
    <row r="3407">
      <c r="A3407" s="1">
        <f>IFERROR(__xludf.DUMMYFUNCTION("""COMPUTED_VALUE"""),855568.0)</f>
        <v>855568</v>
      </c>
      <c r="B3407" s="2">
        <f>IFERROR(__xludf.DUMMYFUNCTION("""COMPUTED_VALUE"""),42756.78639133729)</f>
        <v>42756.78639</v>
      </c>
      <c r="C3407" s="1" t="str">
        <f>IFERROR(__xludf.DUMMYFUNCTION("""COMPUTED_VALUE"""),"treatment")</f>
        <v>treatment</v>
      </c>
      <c r="D3407" s="1" t="str">
        <f>IFERROR(__xludf.DUMMYFUNCTION("""COMPUTED_VALUE"""),"new_page")</f>
        <v>new_page</v>
      </c>
      <c r="E3407" s="1">
        <f>IFERROR(__xludf.DUMMYFUNCTION("""COMPUTED_VALUE"""),0.0)</f>
        <v>0</v>
      </c>
    </row>
    <row r="3408">
      <c r="A3408" s="1">
        <f>IFERROR(__xludf.DUMMYFUNCTION("""COMPUTED_VALUE"""),844905.0)</f>
        <v>844905</v>
      </c>
      <c r="B3408" s="2">
        <f>IFERROR(__xludf.DUMMYFUNCTION("""COMPUTED_VALUE"""),42741.65282497241)</f>
        <v>42741.65282</v>
      </c>
      <c r="C3408" s="1" t="str">
        <f>IFERROR(__xludf.DUMMYFUNCTION("""COMPUTED_VALUE"""),"control")</f>
        <v>control</v>
      </c>
      <c r="D3408" s="1" t="str">
        <f>IFERROR(__xludf.DUMMYFUNCTION("""COMPUTED_VALUE"""),"old_page")</f>
        <v>old_page</v>
      </c>
      <c r="E3408" s="1">
        <f>IFERROR(__xludf.DUMMYFUNCTION("""COMPUTED_VALUE"""),0.0)</f>
        <v>0</v>
      </c>
    </row>
    <row r="3409">
      <c r="A3409" s="1">
        <f>IFERROR(__xludf.DUMMYFUNCTION("""COMPUTED_VALUE"""),762988.0)</f>
        <v>762988</v>
      </c>
      <c r="B3409" s="2">
        <f>IFERROR(__xludf.DUMMYFUNCTION("""COMPUTED_VALUE"""),42757.96707992951)</f>
        <v>42757.96708</v>
      </c>
      <c r="C3409" s="1" t="str">
        <f>IFERROR(__xludf.DUMMYFUNCTION("""COMPUTED_VALUE"""),"control")</f>
        <v>control</v>
      </c>
      <c r="D3409" s="1" t="str">
        <f>IFERROR(__xludf.DUMMYFUNCTION("""COMPUTED_VALUE"""),"old_page")</f>
        <v>old_page</v>
      </c>
      <c r="E3409" s="1">
        <f>IFERROR(__xludf.DUMMYFUNCTION("""COMPUTED_VALUE"""),0.0)</f>
        <v>0</v>
      </c>
    </row>
    <row r="3410">
      <c r="A3410" s="1">
        <f>IFERROR(__xludf.DUMMYFUNCTION("""COMPUTED_VALUE"""),892317.0)</f>
        <v>892317</v>
      </c>
      <c r="B3410" s="2">
        <f>IFERROR(__xludf.DUMMYFUNCTION("""COMPUTED_VALUE"""),42746.28914532454)</f>
        <v>42746.28915</v>
      </c>
      <c r="C3410" s="1" t="str">
        <f>IFERROR(__xludf.DUMMYFUNCTION("""COMPUTED_VALUE"""),"control")</f>
        <v>control</v>
      </c>
      <c r="D3410" s="1" t="str">
        <f>IFERROR(__xludf.DUMMYFUNCTION("""COMPUTED_VALUE"""),"old_page")</f>
        <v>old_page</v>
      </c>
      <c r="E3410" s="1">
        <f>IFERROR(__xludf.DUMMYFUNCTION("""COMPUTED_VALUE"""),0.0)</f>
        <v>0</v>
      </c>
    </row>
    <row r="3411">
      <c r="A3411" s="1">
        <f>IFERROR(__xludf.DUMMYFUNCTION("""COMPUTED_VALUE"""),864990.0)</f>
        <v>864990</v>
      </c>
      <c r="B3411" s="2">
        <f>IFERROR(__xludf.DUMMYFUNCTION("""COMPUTED_VALUE"""),42741.399727378295)</f>
        <v>42741.39973</v>
      </c>
      <c r="C3411" s="1" t="str">
        <f>IFERROR(__xludf.DUMMYFUNCTION("""COMPUTED_VALUE"""),"control")</f>
        <v>control</v>
      </c>
      <c r="D3411" s="1" t="str">
        <f>IFERROR(__xludf.DUMMYFUNCTION("""COMPUTED_VALUE"""),"old_page")</f>
        <v>old_page</v>
      </c>
      <c r="E3411" s="1">
        <f>IFERROR(__xludf.DUMMYFUNCTION("""COMPUTED_VALUE"""),0.0)</f>
        <v>0</v>
      </c>
    </row>
    <row r="3412">
      <c r="A3412" s="1">
        <f>IFERROR(__xludf.DUMMYFUNCTION("""COMPUTED_VALUE"""),818527.0)</f>
        <v>818527</v>
      </c>
      <c r="B3412" s="2">
        <f>IFERROR(__xludf.DUMMYFUNCTION("""COMPUTED_VALUE"""),42746.3269334884)</f>
        <v>42746.32693</v>
      </c>
      <c r="C3412" s="1" t="str">
        <f>IFERROR(__xludf.DUMMYFUNCTION("""COMPUTED_VALUE"""),"control")</f>
        <v>control</v>
      </c>
      <c r="D3412" s="1" t="str">
        <f>IFERROR(__xludf.DUMMYFUNCTION("""COMPUTED_VALUE"""),"old_page")</f>
        <v>old_page</v>
      </c>
      <c r="E3412" s="1">
        <f>IFERROR(__xludf.DUMMYFUNCTION("""COMPUTED_VALUE"""),0.0)</f>
        <v>0</v>
      </c>
    </row>
    <row r="3413">
      <c r="A3413" s="1">
        <f>IFERROR(__xludf.DUMMYFUNCTION("""COMPUTED_VALUE"""),702568.0)</f>
        <v>702568</v>
      </c>
      <c r="B3413" s="2">
        <f>IFERROR(__xludf.DUMMYFUNCTION("""COMPUTED_VALUE"""),42752.51047612043)</f>
        <v>42752.51048</v>
      </c>
      <c r="C3413" s="1" t="str">
        <f>IFERROR(__xludf.DUMMYFUNCTION("""COMPUTED_VALUE"""),"control")</f>
        <v>control</v>
      </c>
      <c r="D3413" s="1" t="str">
        <f>IFERROR(__xludf.DUMMYFUNCTION("""COMPUTED_VALUE"""),"old_page")</f>
        <v>old_page</v>
      </c>
      <c r="E3413" s="1">
        <f>IFERROR(__xludf.DUMMYFUNCTION("""COMPUTED_VALUE"""),0.0)</f>
        <v>0</v>
      </c>
    </row>
    <row r="3414">
      <c r="A3414" s="1">
        <f>IFERROR(__xludf.DUMMYFUNCTION("""COMPUTED_VALUE"""),751766.0)</f>
        <v>751766</v>
      </c>
      <c r="B3414" s="2">
        <f>IFERROR(__xludf.DUMMYFUNCTION("""COMPUTED_VALUE"""),42750.935943372104)</f>
        <v>42750.93594</v>
      </c>
      <c r="C3414" s="1" t="str">
        <f>IFERROR(__xludf.DUMMYFUNCTION("""COMPUTED_VALUE"""),"control")</f>
        <v>control</v>
      </c>
      <c r="D3414" s="1" t="str">
        <f>IFERROR(__xludf.DUMMYFUNCTION("""COMPUTED_VALUE"""),"old_page")</f>
        <v>old_page</v>
      </c>
      <c r="E3414" s="1">
        <f>IFERROR(__xludf.DUMMYFUNCTION("""COMPUTED_VALUE"""),1.0)</f>
        <v>1</v>
      </c>
    </row>
    <row r="3415">
      <c r="A3415" s="1">
        <f>IFERROR(__xludf.DUMMYFUNCTION("""COMPUTED_VALUE"""),854035.0)</f>
        <v>854035</v>
      </c>
      <c r="B3415" s="2">
        <f>IFERROR(__xludf.DUMMYFUNCTION("""COMPUTED_VALUE"""),42746.105495710326)</f>
        <v>42746.1055</v>
      </c>
      <c r="C3415" s="1" t="str">
        <f>IFERROR(__xludf.DUMMYFUNCTION("""COMPUTED_VALUE"""),"control")</f>
        <v>control</v>
      </c>
      <c r="D3415" s="1" t="str">
        <f>IFERROR(__xludf.DUMMYFUNCTION("""COMPUTED_VALUE"""),"old_page")</f>
        <v>old_page</v>
      </c>
      <c r="E3415" s="1">
        <f>IFERROR(__xludf.DUMMYFUNCTION("""COMPUTED_VALUE"""),0.0)</f>
        <v>0</v>
      </c>
    </row>
    <row r="3416">
      <c r="A3416" s="1">
        <f>IFERROR(__xludf.DUMMYFUNCTION("""COMPUTED_VALUE"""),909493.0)</f>
        <v>909493</v>
      </c>
      <c r="B3416" s="2">
        <f>IFERROR(__xludf.DUMMYFUNCTION("""COMPUTED_VALUE"""),42752.285905350414)</f>
        <v>42752.28591</v>
      </c>
      <c r="C3416" s="1" t="str">
        <f>IFERROR(__xludf.DUMMYFUNCTION("""COMPUTED_VALUE"""),"control")</f>
        <v>control</v>
      </c>
      <c r="D3416" s="1" t="str">
        <f>IFERROR(__xludf.DUMMYFUNCTION("""COMPUTED_VALUE"""),"old_page")</f>
        <v>old_page</v>
      </c>
      <c r="E3416" s="1">
        <f>IFERROR(__xludf.DUMMYFUNCTION("""COMPUTED_VALUE"""),0.0)</f>
        <v>0</v>
      </c>
    </row>
    <row r="3417">
      <c r="A3417" s="1">
        <f>IFERROR(__xludf.DUMMYFUNCTION("""COMPUTED_VALUE"""),776339.0)</f>
        <v>776339</v>
      </c>
      <c r="B3417" s="2">
        <f>IFERROR(__xludf.DUMMYFUNCTION("""COMPUTED_VALUE"""),42737.6988666813)</f>
        <v>42737.69887</v>
      </c>
      <c r="C3417" s="1" t="str">
        <f>IFERROR(__xludf.DUMMYFUNCTION("""COMPUTED_VALUE"""),"treatment")</f>
        <v>treatment</v>
      </c>
      <c r="D3417" s="1" t="str">
        <f>IFERROR(__xludf.DUMMYFUNCTION("""COMPUTED_VALUE"""),"new_page")</f>
        <v>new_page</v>
      </c>
      <c r="E3417" s="1">
        <f>IFERROR(__xludf.DUMMYFUNCTION("""COMPUTED_VALUE"""),0.0)</f>
        <v>0</v>
      </c>
    </row>
    <row r="3418">
      <c r="A3418" s="1">
        <f>IFERROR(__xludf.DUMMYFUNCTION("""COMPUTED_VALUE"""),848755.0)</f>
        <v>848755</v>
      </c>
      <c r="B3418" s="2">
        <f>IFERROR(__xludf.DUMMYFUNCTION("""COMPUTED_VALUE"""),42753.755329122105)</f>
        <v>42753.75533</v>
      </c>
      <c r="C3418" s="1" t="str">
        <f>IFERROR(__xludf.DUMMYFUNCTION("""COMPUTED_VALUE"""),"control")</f>
        <v>control</v>
      </c>
      <c r="D3418" s="1" t="str">
        <f>IFERROR(__xludf.DUMMYFUNCTION("""COMPUTED_VALUE"""),"old_page")</f>
        <v>old_page</v>
      </c>
      <c r="E3418" s="1">
        <f>IFERROR(__xludf.DUMMYFUNCTION("""COMPUTED_VALUE"""),1.0)</f>
        <v>1</v>
      </c>
    </row>
    <row r="3419">
      <c r="A3419" s="1">
        <f>IFERROR(__xludf.DUMMYFUNCTION("""COMPUTED_VALUE"""),676759.0)</f>
        <v>676759</v>
      </c>
      <c r="B3419" s="2">
        <f>IFERROR(__xludf.DUMMYFUNCTION("""COMPUTED_VALUE"""),42750.21029587338)</f>
        <v>42750.2103</v>
      </c>
      <c r="C3419" s="1" t="str">
        <f>IFERROR(__xludf.DUMMYFUNCTION("""COMPUTED_VALUE"""),"control")</f>
        <v>control</v>
      </c>
      <c r="D3419" s="1" t="str">
        <f>IFERROR(__xludf.DUMMYFUNCTION("""COMPUTED_VALUE"""),"old_page")</f>
        <v>old_page</v>
      </c>
      <c r="E3419" s="1">
        <f>IFERROR(__xludf.DUMMYFUNCTION("""COMPUTED_VALUE"""),0.0)</f>
        <v>0</v>
      </c>
    </row>
    <row r="3420">
      <c r="A3420" s="1">
        <f>IFERROR(__xludf.DUMMYFUNCTION("""COMPUTED_VALUE"""),937766.0)</f>
        <v>937766</v>
      </c>
      <c r="B3420" s="2">
        <f>IFERROR(__xludf.DUMMYFUNCTION("""COMPUTED_VALUE"""),42752.811777834664)</f>
        <v>42752.81178</v>
      </c>
      <c r="C3420" s="1" t="str">
        <f>IFERROR(__xludf.DUMMYFUNCTION("""COMPUTED_VALUE"""),"control")</f>
        <v>control</v>
      </c>
      <c r="D3420" s="1" t="str">
        <f>IFERROR(__xludf.DUMMYFUNCTION("""COMPUTED_VALUE"""),"old_page")</f>
        <v>old_page</v>
      </c>
      <c r="E3420" s="1">
        <f>IFERROR(__xludf.DUMMYFUNCTION("""COMPUTED_VALUE"""),1.0)</f>
        <v>1</v>
      </c>
    </row>
    <row r="3421">
      <c r="A3421" s="1">
        <f>IFERROR(__xludf.DUMMYFUNCTION("""COMPUTED_VALUE"""),867746.0)</f>
        <v>867746</v>
      </c>
      <c r="B3421" s="2">
        <f>IFERROR(__xludf.DUMMYFUNCTION("""COMPUTED_VALUE"""),42745.137730603215)</f>
        <v>42745.13773</v>
      </c>
      <c r="C3421" s="1" t="str">
        <f>IFERROR(__xludf.DUMMYFUNCTION("""COMPUTED_VALUE"""),"control")</f>
        <v>control</v>
      </c>
      <c r="D3421" s="1" t="str">
        <f>IFERROR(__xludf.DUMMYFUNCTION("""COMPUTED_VALUE"""),"old_page")</f>
        <v>old_page</v>
      </c>
      <c r="E3421" s="1">
        <f>IFERROR(__xludf.DUMMYFUNCTION("""COMPUTED_VALUE"""),0.0)</f>
        <v>0</v>
      </c>
    </row>
    <row r="3422">
      <c r="A3422" s="1">
        <f>IFERROR(__xludf.DUMMYFUNCTION("""COMPUTED_VALUE"""),747250.0)</f>
        <v>747250</v>
      </c>
      <c r="B3422" s="2">
        <f>IFERROR(__xludf.DUMMYFUNCTION("""COMPUTED_VALUE"""),42748.57991320552)</f>
        <v>42748.57991</v>
      </c>
      <c r="C3422" s="1" t="str">
        <f>IFERROR(__xludf.DUMMYFUNCTION("""COMPUTED_VALUE"""),"control")</f>
        <v>control</v>
      </c>
      <c r="D3422" s="1" t="str">
        <f>IFERROR(__xludf.DUMMYFUNCTION("""COMPUTED_VALUE"""),"old_page")</f>
        <v>old_page</v>
      </c>
      <c r="E3422" s="1">
        <f>IFERROR(__xludf.DUMMYFUNCTION("""COMPUTED_VALUE"""),0.0)</f>
        <v>0</v>
      </c>
    </row>
    <row r="3423">
      <c r="A3423" s="1">
        <f>IFERROR(__xludf.DUMMYFUNCTION("""COMPUTED_VALUE"""),638068.0)</f>
        <v>638068</v>
      </c>
      <c r="B3423" s="2">
        <f>IFERROR(__xludf.DUMMYFUNCTION("""COMPUTED_VALUE"""),42755.08125014)</f>
        <v>42755.08125</v>
      </c>
      <c r="C3423" s="1" t="str">
        <f>IFERROR(__xludf.DUMMYFUNCTION("""COMPUTED_VALUE"""),"control")</f>
        <v>control</v>
      </c>
      <c r="D3423" s="1" t="str">
        <f>IFERROR(__xludf.DUMMYFUNCTION("""COMPUTED_VALUE"""),"new_page")</f>
        <v>new_page</v>
      </c>
      <c r="E3423" s="1">
        <f>IFERROR(__xludf.DUMMYFUNCTION("""COMPUTED_VALUE"""),0.0)</f>
        <v>0</v>
      </c>
    </row>
    <row r="3424">
      <c r="A3424" s="1">
        <f>IFERROR(__xludf.DUMMYFUNCTION("""COMPUTED_VALUE"""),923282.0)</f>
        <v>923282</v>
      </c>
      <c r="B3424" s="2">
        <f>IFERROR(__xludf.DUMMYFUNCTION("""COMPUTED_VALUE"""),42751.33885914589)</f>
        <v>42751.33886</v>
      </c>
      <c r="C3424" s="1" t="str">
        <f>IFERROR(__xludf.DUMMYFUNCTION("""COMPUTED_VALUE"""),"control")</f>
        <v>control</v>
      </c>
      <c r="D3424" s="1" t="str">
        <f>IFERROR(__xludf.DUMMYFUNCTION("""COMPUTED_VALUE"""),"old_page")</f>
        <v>old_page</v>
      </c>
      <c r="E3424" s="1">
        <f>IFERROR(__xludf.DUMMYFUNCTION("""COMPUTED_VALUE"""),0.0)</f>
        <v>0</v>
      </c>
    </row>
    <row r="3425">
      <c r="A3425" s="1">
        <f>IFERROR(__xludf.DUMMYFUNCTION("""COMPUTED_VALUE"""),914383.0)</f>
        <v>914383</v>
      </c>
      <c r="B3425" s="2">
        <f>IFERROR(__xludf.DUMMYFUNCTION("""COMPUTED_VALUE"""),42739.26138116371)</f>
        <v>42739.26138</v>
      </c>
      <c r="C3425" s="1" t="str">
        <f>IFERROR(__xludf.DUMMYFUNCTION("""COMPUTED_VALUE"""),"control")</f>
        <v>control</v>
      </c>
      <c r="D3425" s="1" t="str">
        <f>IFERROR(__xludf.DUMMYFUNCTION("""COMPUTED_VALUE"""),"old_page")</f>
        <v>old_page</v>
      </c>
      <c r="E3425" s="1">
        <f>IFERROR(__xludf.DUMMYFUNCTION("""COMPUTED_VALUE"""),0.0)</f>
        <v>0</v>
      </c>
    </row>
    <row r="3426">
      <c r="A3426" s="1">
        <f>IFERROR(__xludf.DUMMYFUNCTION("""COMPUTED_VALUE"""),731739.0)</f>
        <v>731739</v>
      </c>
      <c r="B3426" s="2">
        <f>IFERROR(__xludf.DUMMYFUNCTION("""COMPUTED_VALUE"""),42755.55259966369)</f>
        <v>42755.5526</v>
      </c>
      <c r="C3426" s="1" t="str">
        <f>IFERROR(__xludf.DUMMYFUNCTION("""COMPUTED_VALUE"""),"control")</f>
        <v>control</v>
      </c>
      <c r="D3426" s="1" t="str">
        <f>IFERROR(__xludf.DUMMYFUNCTION("""COMPUTED_VALUE"""),"old_page")</f>
        <v>old_page</v>
      </c>
      <c r="E3426" s="1">
        <f>IFERROR(__xludf.DUMMYFUNCTION("""COMPUTED_VALUE"""),0.0)</f>
        <v>0</v>
      </c>
    </row>
    <row r="3427">
      <c r="A3427" s="1">
        <f>IFERROR(__xludf.DUMMYFUNCTION("""COMPUTED_VALUE"""),781123.0)</f>
        <v>781123</v>
      </c>
      <c r="B3427" s="2">
        <f>IFERROR(__xludf.DUMMYFUNCTION("""COMPUTED_VALUE"""),42738.232711091565)</f>
        <v>42738.23271</v>
      </c>
      <c r="C3427" s="1" t="str">
        <f>IFERROR(__xludf.DUMMYFUNCTION("""COMPUTED_VALUE"""),"treatment")</f>
        <v>treatment</v>
      </c>
      <c r="D3427" s="1" t="str">
        <f>IFERROR(__xludf.DUMMYFUNCTION("""COMPUTED_VALUE"""),"new_page")</f>
        <v>new_page</v>
      </c>
      <c r="E3427" s="1">
        <f>IFERROR(__xludf.DUMMYFUNCTION("""COMPUTED_VALUE"""),0.0)</f>
        <v>0</v>
      </c>
    </row>
    <row r="3428">
      <c r="A3428" s="1">
        <f>IFERROR(__xludf.DUMMYFUNCTION("""COMPUTED_VALUE"""),897432.0)</f>
        <v>897432</v>
      </c>
      <c r="B3428" s="2">
        <f>IFERROR(__xludf.DUMMYFUNCTION("""COMPUTED_VALUE"""),42743.319818431264)</f>
        <v>42743.31982</v>
      </c>
      <c r="C3428" s="1" t="str">
        <f>IFERROR(__xludf.DUMMYFUNCTION("""COMPUTED_VALUE"""),"control")</f>
        <v>control</v>
      </c>
      <c r="D3428" s="1" t="str">
        <f>IFERROR(__xludf.DUMMYFUNCTION("""COMPUTED_VALUE"""),"old_page")</f>
        <v>old_page</v>
      </c>
      <c r="E3428" s="1">
        <f>IFERROR(__xludf.DUMMYFUNCTION("""COMPUTED_VALUE"""),0.0)</f>
        <v>0</v>
      </c>
    </row>
    <row r="3429">
      <c r="A3429" s="1">
        <f>IFERROR(__xludf.DUMMYFUNCTION("""COMPUTED_VALUE"""),899412.0)</f>
        <v>899412</v>
      </c>
      <c r="B3429" s="2">
        <f>IFERROR(__xludf.DUMMYFUNCTION("""COMPUTED_VALUE"""),42750.02254607449)</f>
        <v>42750.02255</v>
      </c>
      <c r="C3429" s="1" t="str">
        <f>IFERROR(__xludf.DUMMYFUNCTION("""COMPUTED_VALUE"""),"control")</f>
        <v>control</v>
      </c>
      <c r="D3429" s="1" t="str">
        <f>IFERROR(__xludf.DUMMYFUNCTION("""COMPUTED_VALUE"""),"old_page")</f>
        <v>old_page</v>
      </c>
      <c r="E3429" s="1">
        <f>IFERROR(__xludf.DUMMYFUNCTION("""COMPUTED_VALUE"""),0.0)</f>
        <v>0</v>
      </c>
    </row>
    <row r="3430">
      <c r="A3430" s="1">
        <f>IFERROR(__xludf.DUMMYFUNCTION("""COMPUTED_VALUE"""),700371.0)</f>
        <v>700371</v>
      </c>
      <c r="B3430" s="2">
        <f>IFERROR(__xludf.DUMMYFUNCTION("""COMPUTED_VALUE"""),42746.83748683523)</f>
        <v>42746.83749</v>
      </c>
      <c r="C3430" s="1" t="str">
        <f>IFERROR(__xludf.DUMMYFUNCTION("""COMPUTED_VALUE"""),"treatment")</f>
        <v>treatment</v>
      </c>
      <c r="D3430" s="1" t="str">
        <f>IFERROR(__xludf.DUMMYFUNCTION("""COMPUTED_VALUE"""),"new_page")</f>
        <v>new_page</v>
      </c>
      <c r="E3430" s="1">
        <f>IFERROR(__xludf.DUMMYFUNCTION("""COMPUTED_VALUE"""),1.0)</f>
        <v>1</v>
      </c>
    </row>
    <row r="3431">
      <c r="A3431" s="1">
        <f>IFERROR(__xludf.DUMMYFUNCTION("""COMPUTED_VALUE"""),661805.0)</f>
        <v>661805</v>
      </c>
      <c r="B3431" s="2">
        <f>IFERROR(__xludf.DUMMYFUNCTION("""COMPUTED_VALUE"""),42740.32525525047)</f>
        <v>42740.32526</v>
      </c>
      <c r="C3431" s="1" t="str">
        <f>IFERROR(__xludf.DUMMYFUNCTION("""COMPUTED_VALUE"""),"control")</f>
        <v>control</v>
      </c>
      <c r="D3431" s="1" t="str">
        <f>IFERROR(__xludf.DUMMYFUNCTION("""COMPUTED_VALUE"""),"old_page")</f>
        <v>old_page</v>
      </c>
      <c r="E3431" s="1">
        <f>IFERROR(__xludf.DUMMYFUNCTION("""COMPUTED_VALUE"""),0.0)</f>
        <v>0</v>
      </c>
    </row>
    <row r="3432">
      <c r="A3432" s="1">
        <f>IFERROR(__xludf.DUMMYFUNCTION("""COMPUTED_VALUE"""),668730.0)</f>
        <v>668730</v>
      </c>
      <c r="B3432" s="2">
        <f>IFERROR(__xludf.DUMMYFUNCTION("""COMPUTED_VALUE"""),42747.57735132546)</f>
        <v>42747.57735</v>
      </c>
      <c r="C3432" s="1" t="str">
        <f>IFERROR(__xludf.DUMMYFUNCTION("""COMPUTED_VALUE"""),"control")</f>
        <v>control</v>
      </c>
      <c r="D3432" s="1" t="str">
        <f>IFERROR(__xludf.DUMMYFUNCTION("""COMPUTED_VALUE"""),"old_page")</f>
        <v>old_page</v>
      </c>
      <c r="E3432" s="1">
        <f>IFERROR(__xludf.DUMMYFUNCTION("""COMPUTED_VALUE"""),0.0)</f>
        <v>0</v>
      </c>
    </row>
    <row r="3433">
      <c r="A3433" s="1">
        <f>IFERROR(__xludf.DUMMYFUNCTION("""COMPUTED_VALUE"""),857727.0)</f>
        <v>857727</v>
      </c>
      <c r="B3433" s="2">
        <f>IFERROR(__xludf.DUMMYFUNCTION("""COMPUTED_VALUE"""),42756.430243344665)</f>
        <v>42756.43024</v>
      </c>
      <c r="C3433" s="1" t="str">
        <f>IFERROR(__xludf.DUMMYFUNCTION("""COMPUTED_VALUE"""),"control")</f>
        <v>control</v>
      </c>
      <c r="D3433" s="1" t="str">
        <f>IFERROR(__xludf.DUMMYFUNCTION("""COMPUTED_VALUE"""),"old_page")</f>
        <v>old_page</v>
      </c>
      <c r="E3433" s="1">
        <f>IFERROR(__xludf.DUMMYFUNCTION("""COMPUTED_VALUE"""),0.0)</f>
        <v>0</v>
      </c>
    </row>
    <row r="3434">
      <c r="A3434" s="1">
        <f>IFERROR(__xludf.DUMMYFUNCTION("""COMPUTED_VALUE"""),778849.0)</f>
        <v>778849</v>
      </c>
      <c r="B3434" s="2">
        <f>IFERROR(__xludf.DUMMYFUNCTION("""COMPUTED_VALUE"""),42748.096866958775)</f>
        <v>42748.09687</v>
      </c>
      <c r="C3434" s="1" t="str">
        <f>IFERROR(__xludf.DUMMYFUNCTION("""COMPUTED_VALUE"""),"control")</f>
        <v>control</v>
      </c>
      <c r="D3434" s="1" t="str">
        <f>IFERROR(__xludf.DUMMYFUNCTION("""COMPUTED_VALUE"""),"old_page")</f>
        <v>old_page</v>
      </c>
      <c r="E3434" s="1">
        <f>IFERROR(__xludf.DUMMYFUNCTION("""COMPUTED_VALUE"""),0.0)</f>
        <v>0</v>
      </c>
    </row>
    <row r="3435">
      <c r="A3435" s="1">
        <f>IFERROR(__xludf.DUMMYFUNCTION("""COMPUTED_VALUE"""),808117.0)</f>
        <v>808117</v>
      </c>
      <c r="B3435" s="2">
        <f>IFERROR(__xludf.DUMMYFUNCTION("""COMPUTED_VALUE"""),42752.690431214876)</f>
        <v>42752.69043</v>
      </c>
      <c r="C3435" s="1" t="str">
        <f>IFERROR(__xludf.DUMMYFUNCTION("""COMPUTED_VALUE"""),"control")</f>
        <v>control</v>
      </c>
      <c r="D3435" s="1" t="str">
        <f>IFERROR(__xludf.DUMMYFUNCTION("""COMPUTED_VALUE"""),"old_page")</f>
        <v>old_page</v>
      </c>
      <c r="E3435" s="1">
        <f>IFERROR(__xludf.DUMMYFUNCTION("""COMPUTED_VALUE"""),0.0)</f>
        <v>0</v>
      </c>
    </row>
    <row r="3436">
      <c r="A3436" s="1">
        <f>IFERROR(__xludf.DUMMYFUNCTION("""COMPUTED_VALUE"""),942185.0)</f>
        <v>942185</v>
      </c>
      <c r="B3436" s="2">
        <f>IFERROR(__xludf.DUMMYFUNCTION("""COMPUTED_VALUE"""),42741.76408305162)</f>
        <v>42741.76408</v>
      </c>
      <c r="C3436" s="1" t="str">
        <f>IFERROR(__xludf.DUMMYFUNCTION("""COMPUTED_VALUE"""),"treatment")</f>
        <v>treatment</v>
      </c>
      <c r="D3436" s="1" t="str">
        <f>IFERROR(__xludf.DUMMYFUNCTION("""COMPUTED_VALUE"""),"new_page")</f>
        <v>new_page</v>
      </c>
      <c r="E3436" s="1">
        <f>IFERROR(__xludf.DUMMYFUNCTION("""COMPUTED_VALUE"""),0.0)</f>
        <v>0</v>
      </c>
    </row>
    <row r="3437">
      <c r="A3437" s="1">
        <f>IFERROR(__xludf.DUMMYFUNCTION("""COMPUTED_VALUE"""),862734.0)</f>
        <v>862734</v>
      </c>
      <c r="B3437" s="2">
        <f>IFERROR(__xludf.DUMMYFUNCTION("""COMPUTED_VALUE"""),42752.98286041509)</f>
        <v>42752.98286</v>
      </c>
      <c r="C3437" s="1" t="str">
        <f>IFERROR(__xludf.DUMMYFUNCTION("""COMPUTED_VALUE"""),"treatment")</f>
        <v>treatment</v>
      </c>
      <c r="D3437" s="1" t="str">
        <f>IFERROR(__xludf.DUMMYFUNCTION("""COMPUTED_VALUE"""),"new_page")</f>
        <v>new_page</v>
      </c>
      <c r="E3437" s="1">
        <f>IFERROR(__xludf.DUMMYFUNCTION("""COMPUTED_VALUE"""),0.0)</f>
        <v>0</v>
      </c>
    </row>
    <row r="3438">
      <c r="A3438" s="1">
        <f>IFERROR(__xludf.DUMMYFUNCTION("""COMPUTED_VALUE"""),703192.0)</f>
        <v>703192</v>
      </c>
      <c r="B3438" s="2">
        <f>IFERROR(__xludf.DUMMYFUNCTION("""COMPUTED_VALUE"""),42738.7304747474)</f>
        <v>42738.73047</v>
      </c>
      <c r="C3438" s="1" t="str">
        <f>IFERROR(__xludf.DUMMYFUNCTION("""COMPUTED_VALUE"""),"treatment")</f>
        <v>treatment</v>
      </c>
      <c r="D3438" s="1" t="str">
        <f>IFERROR(__xludf.DUMMYFUNCTION("""COMPUTED_VALUE"""),"new_page")</f>
        <v>new_page</v>
      </c>
      <c r="E3438" s="1">
        <f>IFERROR(__xludf.DUMMYFUNCTION("""COMPUTED_VALUE"""),1.0)</f>
        <v>1</v>
      </c>
    </row>
    <row r="3439">
      <c r="A3439" s="1">
        <f>IFERROR(__xludf.DUMMYFUNCTION("""COMPUTED_VALUE"""),771157.0)</f>
        <v>771157</v>
      </c>
      <c r="B3439" s="2">
        <f>IFERROR(__xludf.DUMMYFUNCTION("""COMPUTED_VALUE"""),42755.14201618642)</f>
        <v>42755.14202</v>
      </c>
      <c r="C3439" s="1" t="str">
        <f>IFERROR(__xludf.DUMMYFUNCTION("""COMPUTED_VALUE"""),"treatment")</f>
        <v>treatment</v>
      </c>
      <c r="D3439" s="1" t="str">
        <f>IFERROR(__xludf.DUMMYFUNCTION("""COMPUTED_VALUE"""),"new_page")</f>
        <v>new_page</v>
      </c>
      <c r="E3439" s="1">
        <f>IFERROR(__xludf.DUMMYFUNCTION("""COMPUTED_VALUE"""),0.0)</f>
        <v>0</v>
      </c>
    </row>
    <row r="3440">
      <c r="A3440" s="1">
        <f>IFERROR(__xludf.DUMMYFUNCTION("""COMPUTED_VALUE"""),748051.0)</f>
        <v>748051</v>
      </c>
      <c r="B3440" s="2">
        <f>IFERROR(__xludf.DUMMYFUNCTION("""COMPUTED_VALUE"""),42743.34734239307)</f>
        <v>42743.34734</v>
      </c>
      <c r="C3440" s="1" t="str">
        <f>IFERROR(__xludf.DUMMYFUNCTION("""COMPUTED_VALUE"""),"treatment")</f>
        <v>treatment</v>
      </c>
      <c r="D3440" s="1" t="str">
        <f>IFERROR(__xludf.DUMMYFUNCTION("""COMPUTED_VALUE"""),"new_page")</f>
        <v>new_page</v>
      </c>
      <c r="E3440" s="1">
        <f>IFERROR(__xludf.DUMMYFUNCTION("""COMPUTED_VALUE"""),1.0)</f>
        <v>1</v>
      </c>
    </row>
    <row r="3441">
      <c r="A3441" s="1">
        <f>IFERROR(__xludf.DUMMYFUNCTION("""COMPUTED_VALUE"""),874382.0)</f>
        <v>874382</v>
      </c>
      <c r="B3441" s="2">
        <f>IFERROR(__xludf.DUMMYFUNCTION("""COMPUTED_VALUE"""),42746.169759084376)</f>
        <v>42746.16976</v>
      </c>
      <c r="C3441" s="1" t="str">
        <f>IFERROR(__xludf.DUMMYFUNCTION("""COMPUTED_VALUE"""),"control")</f>
        <v>control</v>
      </c>
      <c r="D3441" s="1" t="str">
        <f>IFERROR(__xludf.DUMMYFUNCTION("""COMPUTED_VALUE"""),"old_page")</f>
        <v>old_page</v>
      </c>
      <c r="E3441" s="1">
        <f>IFERROR(__xludf.DUMMYFUNCTION("""COMPUTED_VALUE"""),0.0)</f>
        <v>0</v>
      </c>
    </row>
    <row r="3442">
      <c r="A3442" s="1">
        <f>IFERROR(__xludf.DUMMYFUNCTION("""COMPUTED_VALUE"""),810007.0)</f>
        <v>810007</v>
      </c>
      <c r="B3442" s="2">
        <f>IFERROR(__xludf.DUMMYFUNCTION("""COMPUTED_VALUE"""),42746.841617436854)</f>
        <v>42746.84162</v>
      </c>
      <c r="C3442" s="1" t="str">
        <f>IFERROR(__xludf.DUMMYFUNCTION("""COMPUTED_VALUE"""),"control")</f>
        <v>control</v>
      </c>
      <c r="D3442" s="1" t="str">
        <f>IFERROR(__xludf.DUMMYFUNCTION("""COMPUTED_VALUE"""),"old_page")</f>
        <v>old_page</v>
      </c>
      <c r="E3442" s="1">
        <f>IFERROR(__xludf.DUMMYFUNCTION("""COMPUTED_VALUE"""),0.0)</f>
        <v>0</v>
      </c>
    </row>
    <row r="3443">
      <c r="A3443" s="1">
        <f>IFERROR(__xludf.DUMMYFUNCTION("""COMPUTED_VALUE"""),740220.0)</f>
        <v>740220</v>
      </c>
      <c r="B3443" s="2">
        <f>IFERROR(__xludf.DUMMYFUNCTION("""COMPUTED_VALUE"""),42752.82970258323)</f>
        <v>42752.8297</v>
      </c>
      <c r="C3443" s="1" t="str">
        <f>IFERROR(__xludf.DUMMYFUNCTION("""COMPUTED_VALUE"""),"treatment")</f>
        <v>treatment</v>
      </c>
      <c r="D3443" s="1" t="str">
        <f>IFERROR(__xludf.DUMMYFUNCTION("""COMPUTED_VALUE"""),"new_page")</f>
        <v>new_page</v>
      </c>
      <c r="E3443" s="1">
        <f>IFERROR(__xludf.DUMMYFUNCTION("""COMPUTED_VALUE"""),0.0)</f>
        <v>0</v>
      </c>
    </row>
    <row r="3444">
      <c r="A3444" s="1">
        <f>IFERROR(__xludf.DUMMYFUNCTION("""COMPUTED_VALUE"""),816805.0)</f>
        <v>816805</v>
      </c>
      <c r="B3444" s="2">
        <f>IFERROR(__xludf.DUMMYFUNCTION("""COMPUTED_VALUE"""),42757.575322592755)</f>
        <v>42757.57532</v>
      </c>
      <c r="C3444" s="1" t="str">
        <f>IFERROR(__xludf.DUMMYFUNCTION("""COMPUTED_VALUE"""),"control")</f>
        <v>control</v>
      </c>
      <c r="D3444" s="1" t="str">
        <f>IFERROR(__xludf.DUMMYFUNCTION("""COMPUTED_VALUE"""),"old_page")</f>
        <v>old_page</v>
      </c>
      <c r="E3444" s="1">
        <f>IFERROR(__xludf.DUMMYFUNCTION("""COMPUTED_VALUE"""),0.0)</f>
        <v>0</v>
      </c>
    </row>
    <row r="3445">
      <c r="A3445" s="1">
        <f>IFERROR(__xludf.DUMMYFUNCTION("""COMPUTED_VALUE"""),844275.0)</f>
        <v>844275</v>
      </c>
      <c r="B3445" s="2">
        <f>IFERROR(__xludf.DUMMYFUNCTION("""COMPUTED_VALUE"""),42745.682589197335)</f>
        <v>42745.68259</v>
      </c>
      <c r="C3445" s="1" t="str">
        <f>IFERROR(__xludf.DUMMYFUNCTION("""COMPUTED_VALUE"""),"control")</f>
        <v>control</v>
      </c>
      <c r="D3445" s="1" t="str">
        <f>IFERROR(__xludf.DUMMYFUNCTION("""COMPUTED_VALUE"""),"old_page")</f>
        <v>old_page</v>
      </c>
      <c r="E3445" s="1">
        <f>IFERROR(__xludf.DUMMYFUNCTION("""COMPUTED_VALUE"""),0.0)</f>
        <v>0</v>
      </c>
    </row>
    <row r="3446">
      <c r="A3446" s="1">
        <f>IFERROR(__xludf.DUMMYFUNCTION("""COMPUTED_VALUE"""),782382.0)</f>
        <v>782382</v>
      </c>
      <c r="B3446" s="2">
        <f>IFERROR(__xludf.DUMMYFUNCTION("""COMPUTED_VALUE"""),42755.72435225758)</f>
        <v>42755.72435</v>
      </c>
      <c r="C3446" s="1" t="str">
        <f>IFERROR(__xludf.DUMMYFUNCTION("""COMPUTED_VALUE"""),"control")</f>
        <v>control</v>
      </c>
      <c r="D3446" s="1" t="str">
        <f>IFERROR(__xludf.DUMMYFUNCTION("""COMPUTED_VALUE"""),"old_page")</f>
        <v>old_page</v>
      </c>
      <c r="E3446" s="1">
        <f>IFERROR(__xludf.DUMMYFUNCTION("""COMPUTED_VALUE"""),0.0)</f>
        <v>0</v>
      </c>
    </row>
    <row r="3447">
      <c r="A3447" s="1">
        <f>IFERROR(__xludf.DUMMYFUNCTION("""COMPUTED_VALUE"""),887870.0)</f>
        <v>887870</v>
      </c>
      <c r="B3447" s="2">
        <f>IFERROR(__xludf.DUMMYFUNCTION("""COMPUTED_VALUE"""),42751.08261459648)</f>
        <v>42751.08261</v>
      </c>
      <c r="C3447" s="1" t="str">
        <f>IFERROR(__xludf.DUMMYFUNCTION("""COMPUTED_VALUE"""),"treatment")</f>
        <v>treatment</v>
      </c>
      <c r="D3447" s="1" t="str">
        <f>IFERROR(__xludf.DUMMYFUNCTION("""COMPUTED_VALUE"""),"new_page")</f>
        <v>new_page</v>
      </c>
      <c r="E3447" s="1">
        <f>IFERROR(__xludf.DUMMYFUNCTION("""COMPUTED_VALUE"""),0.0)</f>
        <v>0</v>
      </c>
    </row>
    <row r="3448">
      <c r="A3448" s="1">
        <f>IFERROR(__xludf.DUMMYFUNCTION("""COMPUTED_VALUE"""),869173.0)</f>
        <v>869173</v>
      </c>
      <c r="B3448" s="2">
        <f>IFERROR(__xludf.DUMMYFUNCTION("""COMPUTED_VALUE"""),42743.59228331313)</f>
        <v>42743.59228</v>
      </c>
      <c r="C3448" s="1" t="str">
        <f>IFERROR(__xludf.DUMMYFUNCTION("""COMPUTED_VALUE"""),"control")</f>
        <v>control</v>
      </c>
      <c r="D3448" s="1" t="str">
        <f>IFERROR(__xludf.DUMMYFUNCTION("""COMPUTED_VALUE"""),"old_page")</f>
        <v>old_page</v>
      </c>
      <c r="E3448" s="1">
        <f>IFERROR(__xludf.DUMMYFUNCTION("""COMPUTED_VALUE"""),1.0)</f>
        <v>1</v>
      </c>
    </row>
    <row r="3449">
      <c r="A3449" s="1">
        <f>IFERROR(__xludf.DUMMYFUNCTION("""COMPUTED_VALUE"""),712680.0)</f>
        <v>712680</v>
      </c>
      <c r="B3449" s="2">
        <f>IFERROR(__xludf.DUMMYFUNCTION("""COMPUTED_VALUE"""),42756.83902983066)</f>
        <v>42756.83903</v>
      </c>
      <c r="C3449" s="1" t="str">
        <f>IFERROR(__xludf.DUMMYFUNCTION("""COMPUTED_VALUE"""),"treatment")</f>
        <v>treatment</v>
      </c>
      <c r="D3449" s="1" t="str">
        <f>IFERROR(__xludf.DUMMYFUNCTION("""COMPUTED_VALUE"""),"new_page")</f>
        <v>new_page</v>
      </c>
      <c r="E3449" s="1">
        <f>IFERROR(__xludf.DUMMYFUNCTION("""COMPUTED_VALUE"""),0.0)</f>
        <v>0</v>
      </c>
    </row>
    <row r="3450">
      <c r="A3450" s="1">
        <f>IFERROR(__xludf.DUMMYFUNCTION("""COMPUTED_VALUE"""),787450.0)</f>
        <v>787450</v>
      </c>
      <c r="B3450" s="2">
        <f>IFERROR(__xludf.DUMMYFUNCTION("""COMPUTED_VALUE"""),42741.402535459805)</f>
        <v>42741.40254</v>
      </c>
      <c r="C3450" s="1" t="str">
        <f>IFERROR(__xludf.DUMMYFUNCTION("""COMPUTED_VALUE"""),"treatment")</f>
        <v>treatment</v>
      </c>
      <c r="D3450" s="1" t="str">
        <f>IFERROR(__xludf.DUMMYFUNCTION("""COMPUTED_VALUE"""),"new_page")</f>
        <v>new_page</v>
      </c>
      <c r="E3450" s="1">
        <f>IFERROR(__xludf.DUMMYFUNCTION("""COMPUTED_VALUE"""),0.0)</f>
        <v>0</v>
      </c>
    </row>
    <row r="3451">
      <c r="A3451" s="1">
        <f>IFERROR(__xludf.DUMMYFUNCTION("""COMPUTED_VALUE"""),733012.0)</f>
        <v>733012</v>
      </c>
      <c r="B3451" s="2">
        <f>IFERROR(__xludf.DUMMYFUNCTION("""COMPUTED_VALUE"""),42755.08713632487)</f>
        <v>42755.08714</v>
      </c>
      <c r="C3451" s="1" t="str">
        <f>IFERROR(__xludf.DUMMYFUNCTION("""COMPUTED_VALUE"""),"control")</f>
        <v>control</v>
      </c>
      <c r="D3451" s="1" t="str">
        <f>IFERROR(__xludf.DUMMYFUNCTION("""COMPUTED_VALUE"""),"old_page")</f>
        <v>old_page</v>
      </c>
      <c r="E3451" s="1">
        <f>IFERROR(__xludf.DUMMYFUNCTION("""COMPUTED_VALUE"""),1.0)</f>
        <v>1</v>
      </c>
    </row>
    <row r="3452">
      <c r="A3452" s="1">
        <f>IFERROR(__xludf.DUMMYFUNCTION("""COMPUTED_VALUE"""),871806.0)</f>
        <v>871806</v>
      </c>
      <c r="B3452" s="2">
        <f>IFERROR(__xludf.DUMMYFUNCTION("""COMPUTED_VALUE"""),42743.88878386378)</f>
        <v>42743.88878</v>
      </c>
      <c r="C3452" s="1" t="str">
        <f>IFERROR(__xludf.DUMMYFUNCTION("""COMPUTED_VALUE"""),"treatment")</f>
        <v>treatment</v>
      </c>
      <c r="D3452" s="1" t="str">
        <f>IFERROR(__xludf.DUMMYFUNCTION("""COMPUTED_VALUE"""),"new_page")</f>
        <v>new_page</v>
      </c>
      <c r="E3452" s="1">
        <f>IFERROR(__xludf.DUMMYFUNCTION("""COMPUTED_VALUE"""),0.0)</f>
        <v>0</v>
      </c>
    </row>
    <row r="3453">
      <c r="A3453" s="1">
        <f>IFERROR(__xludf.DUMMYFUNCTION("""COMPUTED_VALUE"""),632906.0)</f>
        <v>632906</v>
      </c>
      <c r="B3453" s="2">
        <f>IFERROR(__xludf.DUMMYFUNCTION("""COMPUTED_VALUE"""),42738.08216685386)</f>
        <v>42738.08217</v>
      </c>
      <c r="C3453" s="1" t="str">
        <f>IFERROR(__xludf.DUMMYFUNCTION("""COMPUTED_VALUE"""),"control")</f>
        <v>control</v>
      </c>
      <c r="D3453" s="1" t="str">
        <f>IFERROR(__xludf.DUMMYFUNCTION("""COMPUTED_VALUE"""),"old_page")</f>
        <v>old_page</v>
      </c>
      <c r="E3453" s="1">
        <f>IFERROR(__xludf.DUMMYFUNCTION("""COMPUTED_VALUE"""),1.0)</f>
        <v>1</v>
      </c>
    </row>
    <row r="3454">
      <c r="A3454" s="1">
        <f>IFERROR(__xludf.DUMMYFUNCTION("""COMPUTED_VALUE"""),648450.0)</f>
        <v>648450</v>
      </c>
      <c r="B3454" s="2">
        <f>IFERROR(__xludf.DUMMYFUNCTION("""COMPUTED_VALUE"""),42737.833840193496)</f>
        <v>42737.83384</v>
      </c>
      <c r="C3454" s="1" t="str">
        <f>IFERROR(__xludf.DUMMYFUNCTION("""COMPUTED_VALUE"""),"control")</f>
        <v>control</v>
      </c>
      <c r="D3454" s="1" t="str">
        <f>IFERROR(__xludf.DUMMYFUNCTION("""COMPUTED_VALUE"""),"old_page")</f>
        <v>old_page</v>
      </c>
      <c r="E3454" s="1">
        <f>IFERROR(__xludf.DUMMYFUNCTION("""COMPUTED_VALUE"""),0.0)</f>
        <v>0</v>
      </c>
    </row>
    <row r="3455">
      <c r="A3455" s="1">
        <f>IFERROR(__xludf.DUMMYFUNCTION("""COMPUTED_VALUE"""),792036.0)</f>
        <v>792036</v>
      </c>
      <c r="B3455" s="2">
        <f>IFERROR(__xludf.DUMMYFUNCTION("""COMPUTED_VALUE"""),42745.05177401662)</f>
        <v>42745.05177</v>
      </c>
      <c r="C3455" s="1" t="str">
        <f>IFERROR(__xludf.DUMMYFUNCTION("""COMPUTED_VALUE"""),"treatment")</f>
        <v>treatment</v>
      </c>
      <c r="D3455" s="1" t="str">
        <f>IFERROR(__xludf.DUMMYFUNCTION("""COMPUTED_VALUE"""),"new_page")</f>
        <v>new_page</v>
      </c>
      <c r="E3455" s="1">
        <f>IFERROR(__xludf.DUMMYFUNCTION("""COMPUTED_VALUE"""),0.0)</f>
        <v>0</v>
      </c>
    </row>
    <row r="3456">
      <c r="A3456" s="1">
        <f>IFERROR(__xludf.DUMMYFUNCTION("""COMPUTED_VALUE"""),778190.0)</f>
        <v>778190</v>
      </c>
      <c r="B3456" s="2">
        <f>IFERROR(__xludf.DUMMYFUNCTION("""COMPUTED_VALUE"""),42755.73585265665)</f>
        <v>42755.73585</v>
      </c>
      <c r="C3456" s="1" t="str">
        <f>IFERROR(__xludf.DUMMYFUNCTION("""COMPUTED_VALUE"""),"treatment")</f>
        <v>treatment</v>
      </c>
      <c r="D3456" s="1" t="str">
        <f>IFERROR(__xludf.DUMMYFUNCTION("""COMPUTED_VALUE"""),"new_page")</f>
        <v>new_page</v>
      </c>
      <c r="E3456" s="1">
        <f>IFERROR(__xludf.DUMMYFUNCTION("""COMPUTED_VALUE"""),0.0)</f>
        <v>0</v>
      </c>
    </row>
    <row r="3457">
      <c r="A3457" s="1">
        <f>IFERROR(__xludf.DUMMYFUNCTION("""COMPUTED_VALUE"""),753254.0)</f>
        <v>753254</v>
      </c>
      <c r="B3457" s="2">
        <f>IFERROR(__xludf.DUMMYFUNCTION("""COMPUTED_VALUE"""),42742.81017243096)</f>
        <v>42742.81017</v>
      </c>
      <c r="C3457" s="1" t="str">
        <f>IFERROR(__xludf.DUMMYFUNCTION("""COMPUTED_VALUE"""),"control")</f>
        <v>control</v>
      </c>
      <c r="D3457" s="1" t="str">
        <f>IFERROR(__xludf.DUMMYFUNCTION("""COMPUTED_VALUE"""),"old_page")</f>
        <v>old_page</v>
      </c>
      <c r="E3457" s="1">
        <f>IFERROR(__xludf.DUMMYFUNCTION("""COMPUTED_VALUE"""),0.0)</f>
        <v>0</v>
      </c>
    </row>
    <row r="3458">
      <c r="A3458" s="1">
        <f>IFERROR(__xludf.DUMMYFUNCTION("""COMPUTED_VALUE"""),712856.0)</f>
        <v>712856</v>
      </c>
      <c r="B3458" s="2">
        <f>IFERROR(__xludf.DUMMYFUNCTION("""COMPUTED_VALUE"""),42741.89974243775)</f>
        <v>42741.89974</v>
      </c>
      <c r="C3458" s="1" t="str">
        <f>IFERROR(__xludf.DUMMYFUNCTION("""COMPUTED_VALUE"""),"control")</f>
        <v>control</v>
      </c>
      <c r="D3458" s="1" t="str">
        <f>IFERROR(__xludf.DUMMYFUNCTION("""COMPUTED_VALUE"""),"old_page")</f>
        <v>old_page</v>
      </c>
      <c r="E3458" s="1">
        <f>IFERROR(__xludf.DUMMYFUNCTION("""COMPUTED_VALUE"""),0.0)</f>
        <v>0</v>
      </c>
    </row>
    <row r="3459">
      <c r="A3459" s="1">
        <f>IFERROR(__xludf.DUMMYFUNCTION("""COMPUTED_VALUE"""),933502.0)</f>
        <v>933502</v>
      </c>
      <c r="B3459" s="2">
        <f>IFERROR(__xludf.DUMMYFUNCTION("""COMPUTED_VALUE"""),42756.263540548796)</f>
        <v>42756.26354</v>
      </c>
      <c r="C3459" s="1" t="str">
        <f>IFERROR(__xludf.DUMMYFUNCTION("""COMPUTED_VALUE"""),"control")</f>
        <v>control</v>
      </c>
      <c r="D3459" s="1" t="str">
        <f>IFERROR(__xludf.DUMMYFUNCTION("""COMPUTED_VALUE"""),"old_page")</f>
        <v>old_page</v>
      </c>
      <c r="E3459" s="1">
        <f>IFERROR(__xludf.DUMMYFUNCTION("""COMPUTED_VALUE"""),0.0)</f>
        <v>0</v>
      </c>
    </row>
    <row r="3460">
      <c r="A3460" s="1">
        <f>IFERROR(__xludf.DUMMYFUNCTION("""COMPUTED_VALUE"""),911036.0)</f>
        <v>911036</v>
      </c>
      <c r="B3460" s="2">
        <f>IFERROR(__xludf.DUMMYFUNCTION("""COMPUTED_VALUE"""),42744.60951079749)</f>
        <v>42744.60951</v>
      </c>
      <c r="C3460" s="1" t="str">
        <f>IFERROR(__xludf.DUMMYFUNCTION("""COMPUTED_VALUE"""),"treatment")</f>
        <v>treatment</v>
      </c>
      <c r="D3460" s="1" t="str">
        <f>IFERROR(__xludf.DUMMYFUNCTION("""COMPUTED_VALUE"""),"new_page")</f>
        <v>new_page</v>
      </c>
      <c r="E3460" s="1">
        <f>IFERROR(__xludf.DUMMYFUNCTION("""COMPUTED_VALUE"""),0.0)</f>
        <v>0</v>
      </c>
    </row>
    <row r="3461">
      <c r="A3461" s="1">
        <f>IFERROR(__xludf.DUMMYFUNCTION("""COMPUTED_VALUE"""),861719.0)</f>
        <v>861719</v>
      </c>
      <c r="B3461" s="2">
        <f>IFERROR(__xludf.DUMMYFUNCTION("""COMPUTED_VALUE"""),42749.99589458342)</f>
        <v>42749.99589</v>
      </c>
      <c r="C3461" s="1" t="str">
        <f>IFERROR(__xludf.DUMMYFUNCTION("""COMPUTED_VALUE"""),"treatment")</f>
        <v>treatment</v>
      </c>
      <c r="D3461" s="1" t="str">
        <f>IFERROR(__xludf.DUMMYFUNCTION("""COMPUTED_VALUE"""),"new_page")</f>
        <v>new_page</v>
      </c>
      <c r="E3461" s="1">
        <f>IFERROR(__xludf.DUMMYFUNCTION("""COMPUTED_VALUE"""),0.0)</f>
        <v>0</v>
      </c>
    </row>
    <row r="3462">
      <c r="A3462" s="1">
        <f>IFERROR(__xludf.DUMMYFUNCTION("""COMPUTED_VALUE"""),931986.0)</f>
        <v>931986</v>
      </c>
      <c r="B3462" s="2">
        <f>IFERROR(__xludf.DUMMYFUNCTION("""COMPUTED_VALUE"""),42738.32251836431)</f>
        <v>42738.32252</v>
      </c>
      <c r="C3462" s="1" t="str">
        <f>IFERROR(__xludf.DUMMYFUNCTION("""COMPUTED_VALUE"""),"control")</f>
        <v>control</v>
      </c>
      <c r="D3462" s="1" t="str">
        <f>IFERROR(__xludf.DUMMYFUNCTION("""COMPUTED_VALUE"""),"old_page")</f>
        <v>old_page</v>
      </c>
      <c r="E3462" s="1">
        <f>IFERROR(__xludf.DUMMYFUNCTION("""COMPUTED_VALUE"""),0.0)</f>
        <v>0</v>
      </c>
    </row>
    <row r="3463">
      <c r="A3463" s="1">
        <f>IFERROR(__xludf.DUMMYFUNCTION("""COMPUTED_VALUE"""),649801.0)</f>
        <v>649801</v>
      </c>
      <c r="B3463" s="2">
        <f>IFERROR(__xludf.DUMMYFUNCTION("""COMPUTED_VALUE"""),42738.9974210751)</f>
        <v>42738.99742</v>
      </c>
      <c r="C3463" s="1" t="str">
        <f>IFERROR(__xludf.DUMMYFUNCTION("""COMPUTED_VALUE"""),"control")</f>
        <v>control</v>
      </c>
      <c r="D3463" s="1" t="str">
        <f>IFERROR(__xludf.DUMMYFUNCTION("""COMPUTED_VALUE"""),"old_page")</f>
        <v>old_page</v>
      </c>
      <c r="E3463" s="1">
        <f>IFERROR(__xludf.DUMMYFUNCTION("""COMPUTED_VALUE"""),0.0)</f>
        <v>0</v>
      </c>
    </row>
    <row r="3464">
      <c r="A3464" s="1">
        <f>IFERROR(__xludf.DUMMYFUNCTION("""COMPUTED_VALUE"""),763472.0)</f>
        <v>763472</v>
      </c>
      <c r="B3464" s="2">
        <f>IFERROR(__xludf.DUMMYFUNCTION("""COMPUTED_VALUE"""),42739.602007755646)</f>
        <v>42739.60201</v>
      </c>
      <c r="C3464" s="1" t="str">
        <f>IFERROR(__xludf.DUMMYFUNCTION("""COMPUTED_VALUE"""),"treatment")</f>
        <v>treatment</v>
      </c>
      <c r="D3464" s="1" t="str">
        <f>IFERROR(__xludf.DUMMYFUNCTION("""COMPUTED_VALUE"""),"new_page")</f>
        <v>new_page</v>
      </c>
      <c r="E3464" s="1">
        <f>IFERROR(__xludf.DUMMYFUNCTION("""COMPUTED_VALUE"""),0.0)</f>
        <v>0</v>
      </c>
    </row>
    <row r="3465">
      <c r="A3465" s="1">
        <f>IFERROR(__xludf.DUMMYFUNCTION("""COMPUTED_VALUE"""),890388.0)</f>
        <v>890388</v>
      </c>
      <c r="B3465" s="2">
        <f>IFERROR(__xludf.DUMMYFUNCTION("""COMPUTED_VALUE"""),42741.00787628508)</f>
        <v>42741.00788</v>
      </c>
      <c r="C3465" s="1" t="str">
        <f>IFERROR(__xludf.DUMMYFUNCTION("""COMPUTED_VALUE"""),"treatment")</f>
        <v>treatment</v>
      </c>
      <c r="D3465" s="1" t="str">
        <f>IFERROR(__xludf.DUMMYFUNCTION("""COMPUTED_VALUE"""),"new_page")</f>
        <v>new_page</v>
      </c>
      <c r="E3465" s="1">
        <f>IFERROR(__xludf.DUMMYFUNCTION("""COMPUTED_VALUE"""),0.0)</f>
        <v>0</v>
      </c>
    </row>
    <row r="3466">
      <c r="A3466" s="1">
        <f>IFERROR(__xludf.DUMMYFUNCTION("""COMPUTED_VALUE"""),755718.0)</f>
        <v>755718</v>
      </c>
      <c r="B3466" s="2">
        <f>IFERROR(__xludf.DUMMYFUNCTION("""COMPUTED_VALUE"""),42757.31962337447)</f>
        <v>42757.31962</v>
      </c>
      <c r="C3466" s="1" t="str">
        <f>IFERROR(__xludf.DUMMYFUNCTION("""COMPUTED_VALUE"""),"control")</f>
        <v>control</v>
      </c>
      <c r="D3466" s="1" t="str">
        <f>IFERROR(__xludf.DUMMYFUNCTION("""COMPUTED_VALUE"""),"old_page")</f>
        <v>old_page</v>
      </c>
      <c r="E3466" s="1">
        <f>IFERROR(__xludf.DUMMYFUNCTION("""COMPUTED_VALUE"""),0.0)</f>
        <v>0</v>
      </c>
    </row>
    <row r="3467">
      <c r="A3467" s="1">
        <f>IFERROR(__xludf.DUMMYFUNCTION("""COMPUTED_VALUE"""),777172.0)</f>
        <v>777172</v>
      </c>
      <c r="B3467" s="2">
        <f>IFERROR(__xludf.DUMMYFUNCTION("""COMPUTED_VALUE"""),42750.98647289064)</f>
        <v>42750.98647</v>
      </c>
      <c r="C3467" s="1" t="str">
        <f>IFERROR(__xludf.DUMMYFUNCTION("""COMPUTED_VALUE"""),"control")</f>
        <v>control</v>
      </c>
      <c r="D3467" s="1" t="str">
        <f>IFERROR(__xludf.DUMMYFUNCTION("""COMPUTED_VALUE"""),"old_page")</f>
        <v>old_page</v>
      </c>
      <c r="E3467" s="1">
        <f>IFERROR(__xludf.DUMMYFUNCTION("""COMPUTED_VALUE"""),0.0)</f>
        <v>0</v>
      </c>
    </row>
    <row r="3468">
      <c r="A3468" s="1">
        <f>IFERROR(__xludf.DUMMYFUNCTION("""COMPUTED_VALUE"""),761640.0)</f>
        <v>761640</v>
      </c>
      <c r="B3468" s="2">
        <f>IFERROR(__xludf.DUMMYFUNCTION("""COMPUTED_VALUE"""),42757.02910920254)</f>
        <v>42757.02911</v>
      </c>
      <c r="C3468" s="1" t="str">
        <f>IFERROR(__xludf.DUMMYFUNCTION("""COMPUTED_VALUE"""),"control")</f>
        <v>control</v>
      </c>
      <c r="D3468" s="1" t="str">
        <f>IFERROR(__xludf.DUMMYFUNCTION("""COMPUTED_VALUE"""),"old_page")</f>
        <v>old_page</v>
      </c>
      <c r="E3468" s="1">
        <f>IFERROR(__xludf.DUMMYFUNCTION("""COMPUTED_VALUE"""),0.0)</f>
        <v>0</v>
      </c>
    </row>
    <row r="3469">
      <c r="A3469" s="1">
        <f>IFERROR(__xludf.DUMMYFUNCTION("""COMPUTED_VALUE"""),789464.0)</f>
        <v>789464</v>
      </c>
      <c r="B3469" s="2">
        <f>IFERROR(__xludf.DUMMYFUNCTION("""COMPUTED_VALUE"""),42753.51917734355)</f>
        <v>42753.51918</v>
      </c>
      <c r="C3469" s="1" t="str">
        <f>IFERROR(__xludf.DUMMYFUNCTION("""COMPUTED_VALUE"""),"control")</f>
        <v>control</v>
      </c>
      <c r="D3469" s="1" t="str">
        <f>IFERROR(__xludf.DUMMYFUNCTION("""COMPUTED_VALUE"""),"old_page")</f>
        <v>old_page</v>
      </c>
      <c r="E3469" s="1">
        <f>IFERROR(__xludf.DUMMYFUNCTION("""COMPUTED_VALUE"""),0.0)</f>
        <v>0</v>
      </c>
    </row>
    <row r="3470">
      <c r="A3470" s="1">
        <f>IFERROR(__xludf.DUMMYFUNCTION("""COMPUTED_VALUE"""),833716.0)</f>
        <v>833716</v>
      </c>
      <c r="B3470" s="2">
        <f>IFERROR(__xludf.DUMMYFUNCTION("""COMPUTED_VALUE"""),42743.07075818157)</f>
        <v>42743.07076</v>
      </c>
      <c r="C3470" s="1" t="str">
        <f>IFERROR(__xludf.DUMMYFUNCTION("""COMPUTED_VALUE"""),"treatment")</f>
        <v>treatment</v>
      </c>
      <c r="D3470" s="1" t="str">
        <f>IFERROR(__xludf.DUMMYFUNCTION("""COMPUTED_VALUE"""),"new_page")</f>
        <v>new_page</v>
      </c>
      <c r="E3470" s="1">
        <f>IFERROR(__xludf.DUMMYFUNCTION("""COMPUTED_VALUE"""),0.0)</f>
        <v>0</v>
      </c>
    </row>
    <row r="3471">
      <c r="A3471" s="1">
        <f>IFERROR(__xludf.DUMMYFUNCTION("""COMPUTED_VALUE"""),863493.0)</f>
        <v>863493</v>
      </c>
      <c r="B3471" s="2">
        <f>IFERROR(__xludf.DUMMYFUNCTION("""COMPUTED_VALUE"""),42757.29381874412)</f>
        <v>42757.29382</v>
      </c>
      <c r="C3471" s="1" t="str">
        <f>IFERROR(__xludf.DUMMYFUNCTION("""COMPUTED_VALUE"""),"treatment")</f>
        <v>treatment</v>
      </c>
      <c r="D3471" s="1" t="str">
        <f>IFERROR(__xludf.DUMMYFUNCTION("""COMPUTED_VALUE"""),"new_page")</f>
        <v>new_page</v>
      </c>
      <c r="E3471" s="1">
        <f>IFERROR(__xludf.DUMMYFUNCTION("""COMPUTED_VALUE"""),0.0)</f>
        <v>0</v>
      </c>
    </row>
    <row r="3472">
      <c r="A3472" s="1">
        <f>IFERROR(__xludf.DUMMYFUNCTION("""COMPUTED_VALUE"""),809622.0)</f>
        <v>809622</v>
      </c>
      <c r="B3472" s="2">
        <f>IFERROR(__xludf.DUMMYFUNCTION("""COMPUTED_VALUE"""),42753.49499995549)</f>
        <v>42753.495</v>
      </c>
      <c r="C3472" s="1" t="str">
        <f>IFERROR(__xludf.DUMMYFUNCTION("""COMPUTED_VALUE"""),"control")</f>
        <v>control</v>
      </c>
      <c r="D3472" s="1" t="str">
        <f>IFERROR(__xludf.DUMMYFUNCTION("""COMPUTED_VALUE"""),"old_page")</f>
        <v>old_page</v>
      </c>
      <c r="E3472" s="1">
        <f>IFERROR(__xludf.DUMMYFUNCTION("""COMPUTED_VALUE"""),0.0)</f>
        <v>0</v>
      </c>
    </row>
    <row r="3473">
      <c r="A3473" s="1">
        <f>IFERROR(__xludf.DUMMYFUNCTION("""COMPUTED_VALUE"""),761486.0)</f>
        <v>761486</v>
      </c>
      <c r="B3473" s="2">
        <f>IFERROR(__xludf.DUMMYFUNCTION("""COMPUTED_VALUE"""),42748.515555867394)</f>
        <v>42748.51556</v>
      </c>
      <c r="C3473" s="1" t="str">
        <f>IFERROR(__xludf.DUMMYFUNCTION("""COMPUTED_VALUE"""),"treatment")</f>
        <v>treatment</v>
      </c>
      <c r="D3473" s="1" t="str">
        <f>IFERROR(__xludf.DUMMYFUNCTION("""COMPUTED_VALUE"""),"new_page")</f>
        <v>new_page</v>
      </c>
      <c r="E3473" s="1">
        <f>IFERROR(__xludf.DUMMYFUNCTION("""COMPUTED_VALUE"""),0.0)</f>
        <v>0</v>
      </c>
    </row>
    <row r="3474">
      <c r="A3474" s="1">
        <f>IFERROR(__xludf.DUMMYFUNCTION("""COMPUTED_VALUE"""),847936.0)</f>
        <v>847936</v>
      </c>
      <c r="B3474" s="2">
        <f>IFERROR(__xludf.DUMMYFUNCTION("""COMPUTED_VALUE"""),42746.74822059582)</f>
        <v>42746.74822</v>
      </c>
      <c r="C3474" s="1" t="str">
        <f>IFERROR(__xludf.DUMMYFUNCTION("""COMPUTED_VALUE"""),"treatment")</f>
        <v>treatment</v>
      </c>
      <c r="D3474" s="1" t="str">
        <f>IFERROR(__xludf.DUMMYFUNCTION("""COMPUTED_VALUE"""),"new_page")</f>
        <v>new_page</v>
      </c>
      <c r="E3474" s="1">
        <f>IFERROR(__xludf.DUMMYFUNCTION("""COMPUTED_VALUE"""),0.0)</f>
        <v>0</v>
      </c>
    </row>
    <row r="3475">
      <c r="A3475" s="1">
        <f>IFERROR(__xludf.DUMMYFUNCTION("""COMPUTED_VALUE"""),713371.0)</f>
        <v>713371</v>
      </c>
      <c r="B3475" s="2">
        <f>IFERROR(__xludf.DUMMYFUNCTION("""COMPUTED_VALUE"""),42740.39187721316)</f>
        <v>42740.39188</v>
      </c>
      <c r="C3475" s="1" t="str">
        <f>IFERROR(__xludf.DUMMYFUNCTION("""COMPUTED_VALUE"""),"control")</f>
        <v>control</v>
      </c>
      <c r="D3475" s="1" t="str">
        <f>IFERROR(__xludf.DUMMYFUNCTION("""COMPUTED_VALUE"""),"old_page")</f>
        <v>old_page</v>
      </c>
      <c r="E3475" s="1">
        <f>IFERROR(__xludf.DUMMYFUNCTION("""COMPUTED_VALUE"""),0.0)</f>
        <v>0</v>
      </c>
    </row>
    <row r="3476">
      <c r="A3476" s="1">
        <f>IFERROR(__xludf.DUMMYFUNCTION("""COMPUTED_VALUE"""),636637.0)</f>
        <v>636637</v>
      </c>
      <c r="B3476" s="2">
        <f>IFERROR(__xludf.DUMMYFUNCTION("""COMPUTED_VALUE"""),42752.116007580255)</f>
        <v>42752.11601</v>
      </c>
      <c r="C3476" s="1" t="str">
        <f>IFERROR(__xludf.DUMMYFUNCTION("""COMPUTED_VALUE"""),"control")</f>
        <v>control</v>
      </c>
      <c r="D3476" s="1" t="str">
        <f>IFERROR(__xludf.DUMMYFUNCTION("""COMPUTED_VALUE"""),"old_page")</f>
        <v>old_page</v>
      </c>
      <c r="E3476" s="1">
        <f>IFERROR(__xludf.DUMMYFUNCTION("""COMPUTED_VALUE"""),1.0)</f>
        <v>1</v>
      </c>
    </row>
    <row r="3477">
      <c r="A3477" s="1">
        <f>IFERROR(__xludf.DUMMYFUNCTION("""COMPUTED_VALUE"""),911735.0)</f>
        <v>911735</v>
      </c>
      <c r="B3477" s="2">
        <f>IFERROR(__xludf.DUMMYFUNCTION("""COMPUTED_VALUE"""),42755.36630801388)</f>
        <v>42755.36631</v>
      </c>
      <c r="C3477" s="1" t="str">
        <f>IFERROR(__xludf.DUMMYFUNCTION("""COMPUTED_VALUE"""),"control")</f>
        <v>control</v>
      </c>
      <c r="D3477" s="1" t="str">
        <f>IFERROR(__xludf.DUMMYFUNCTION("""COMPUTED_VALUE"""),"old_page")</f>
        <v>old_page</v>
      </c>
      <c r="E3477" s="1">
        <f>IFERROR(__xludf.DUMMYFUNCTION("""COMPUTED_VALUE"""),0.0)</f>
        <v>0</v>
      </c>
    </row>
    <row r="3478">
      <c r="A3478" s="1">
        <f>IFERROR(__xludf.DUMMYFUNCTION("""COMPUTED_VALUE"""),893880.0)</f>
        <v>893880</v>
      </c>
      <c r="B3478" s="2">
        <f>IFERROR(__xludf.DUMMYFUNCTION("""COMPUTED_VALUE"""),42745.951574389364)</f>
        <v>42745.95157</v>
      </c>
      <c r="C3478" s="1" t="str">
        <f>IFERROR(__xludf.DUMMYFUNCTION("""COMPUTED_VALUE"""),"treatment")</f>
        <v>treatment</v>
      </c>
      <c r="D3478" s="1" t="str">
        <f>IFERROR(__xludf.DUMMYFUNCTION("""COMPUTED_VALUE"""),"new_page")</f>
        <v>new_page</v>
      </c>
      <c r="E3478" s="1">
        <f>IFERROR(__xludf.DUMMYFUNCTION("""COMPUTED_VALUE"""),0.0)</f>
        <v>0</v>
      </c>
    </row>
    <row r="3479">
      <c r="A3479" s="1">
        <f>IFERROR(__xludf.DUMMYFUNCTION("""COMPUTED_VALUE"""),734569.0)</f>
        <v>734569</v>
      </c>
      <c r="B3479" s="2">
        <f>IFERROR(__xludf.DUMMYFUNCTION("""COMPUTED_VALUE"""),42746.11159365121)</f>
        <v>42746.11159</v>
      </c>
      <c r="C3479" s="1" t="str">
        <f>IFERROR(__xludf.DUMMYFUNCTION("""COMPUTED_VALUE"""),"treatment")</f>
        <v>treatment</v>
      </c>
      <c r="D3479" s="1" t="str">
        <f>IFERROR(__xludf.DUMMYFUNCTION("""COMPUTED_VALUE"""),"new_page")</f>
        <v>new_page</v>
      </c>
      <c r="E3479" s="1">
        <f>IFERROR(__xludf.DUMMYFUNCTION("""COMPUTED_VALUE"""),0.0)</f>
        <v>0</v>
      </c>
    </row>
    <row r="3480">
      <c r="A3480" s="1">
        <f>IFERROR(__xludf.DUMMYFUNCTION("""COMPUTED_VALUE"""),749372.0)</f>
        <v>749372</v>
      </c>
      <c r="B3480" s="2">
        <f>IFERROR(__xludf.DUMMYFUNCTION("""COMPUTED_VALUE"""),42751.4154351958)</f>
        <v>42751.41544</v>
      </c>
      <c r="C3480" s="1" t="str">
        <f>IFERROR(__xludf.DUMMYFUNCTION("""COMPUTED_VALUE"""),"control")</f>
        <v>control</v>
      </c>
      <c r="D3480" s="1" t="str">
        <f>IFERROR(__xludf.DUMMYFUNCTION("""COMPUTED_VALUE"""),"old_page")</f>
        <v>old_page</v>
      </c>
      <c r="E3480" s="1">
        <f>IFERROR(__xludf.DUMMYFUNCTION("""COMPUTED_VALUE"""),0.0)</f>
        <v>0</v>
      </c>
    </row>
    <row r="3481">
      <c r="A3481" s="1">
        <f>IFERROR(__xludf.DUMMYFUNCTION("""COMPUTED_VALUE"""),822022.0)</f>
        <v>822022</v>
      </c>
      <c r="B3481" s="2">
        <f>IFERROR(__xludf.DUMMYFUNCTION("""COMPUTED_VALUE"""),42758.85673493488)</f>
        <v>42758.85673</v>
      </c>
      <c r="C3481" s="1" t="str">
        <f>IFERROR(__xludf.DUMMYFUNCTION("""COMPUTED_VALUE"""),"treatment")</f>
        <v>treatment</v>
      </c>
      <c r="D3481" s="1" t="str">
        <f>IFERROR(__xludf.DUMMYFUNCTION("""COMPUTED_VALUE"""),"new_page")</f>
        <v>new_page</v>
      </c>
      <c r="E3481" s="1">
        <f>IFERROR(__xludf.DUMMYFUNCTION("""COMPUTED_VALUE"""),0.0)</f>
        <v>0</v>
      </c>
    </row>
    <row r="3482">
      <c r="A3482" s="1">
        <f>IFERROR(__xludf.DUMMYFUNCTION("""COMPUTED_VALUE"""),650452.0)</f>
        <v>650452</v>
      </c>
      <c r="B3482" s="2">
        <f>IFERROR(__xludf.DUMMYFUNCTION("""COMPUTED_VALUE"""),42756.314153295185)</f>
        <v>42756.31415</v>
      </c>
      <c r="C3482" s="1" t="str">
        <f>IFERROR(__xludf.DUMMYFUNCTION("""COMPUTED_VALUE"""),"control")</f>
        <v>control</v>
      </c>
      <c r="D3482" s="1" t="str">
        <f>IFERROR(__xludf.DUMMYFUNCTION("""COMPUTED_VALUE"""),"old_page")</f>
        <v>old_page</v>
      </c>
      <c r="E3482" s="1">
        <f>IFERROR(__xludf.DUMMYFUNCTION("""COMPUTED_VALUE"""),0.0)</f>
        <v>0</v>
      </c>
    </row>
    <row r="3483">
      <c r="A3483" s="1">
        <f>IFERROR(__xludf.DUMMYFUNCTION("""COMPUTED_VALUE"""),873141.0)</f>
        <v>873141</v>
      </c>
      <c r="B3483" s="2">
        <f>IFERROR(__xludf.DUMMYFUNCTION("""COMPUTED_VALUE"""),42756.810199049156)</f>
        <v>42756.8102</v>
      </c>
      <c r="C3483" s="1" t="str">
        <f>IFERROR(__xludf.DUMMYFUNCTION("""COMPUTED_VALUE"""),"control")</f>
        <v>control</v>
      </c>
      <c r="D3483" s="1" t="str">
        <f>IFERROR(__xludf.DUMMYFUNCTION("""COMPUTED_VALUE"""),"old_page")</f>
        <v>old_page</v>
      </c>
      <c r="E3483" s="1">
        <f>IFERROR(__xludf.DUMMYFUNCTION("""COMPUTED_VALUE"""),0.0)</f>
        <v>0</v>
      </c>
    </row>
    <row r="3484">
      <c r="A3484" s="1">
        <f>IFERROR(__xludf.DUMMYFUNCTION("""COMPUTED_VALUE"""),867194.0)</f>
        <v>867194</v>
      </c>
      <c r="B3484" s="2">
        <f>IFERROR(__xludf.DUMMYFUNCTION("""COMPUTED_VALUE"""),42746.60427065224)</f>
        <v>42746.60427</v>
      </c>
      <c r="C3484" s="1" t="str">
        <f>IFERROR(__xludf.DUMMYFUNCTION("""COMPUTED_VALUE"""),"control")</f>
        <v>control</v>
      </c>
      <c r="D3484" s="1" t="str">
        <f>IFERROR(__xludf.DUMMYFUNCTION("""COMPUTED_VALUE"""),"old_page")</f>
        <v>old_page</v>
      </c>
      <c r="E3484" s="1">
        <f>IFERROR(__xludf.DUMMYFUNCTION("""COMPUTED_VALUE"""),0.0)</f>
        <v>0</v>
      </c>
    </row>
    <row r="3485">
      <c r="A3485" s="1">
        <f>IFERROR(__xludf.DUMMYFUNCTION("""COMPUTED_VALUE"""),907798.0)</f>
        <v>907798</v>
      </c>
      <c r="B3485" s="2">
        <f>IFERROR(__xludf.DUMMYFUNCTION("""COMPUTED_VALUE"""),42739.723307904605)</f>
        <v>42739.72331</v>
      </c>
      <c r="C3485" s="1" t="str">
        <f>IFERROR(__xludf.DUMMYFUNCTION("""COMPUTED_VALUE"""),"treatment")</f>
        <v>treatment</v>
      </c>
      <c r="D3485" s="1" t="str">
        <f>IFERROR(__xludf.DUMMYFUNCTION("""COMPUTED_VALUE"""),"new_page")</f>
        <v>new_page</v>
      </c>
      <c r="E3485" s="1">
        <f>IFERROR(__xludf.DUMMYFUNCTION("""COMPUTED_VALUE"""),0.0)</f>
        <v>0</v>
      </c>
    </row>
    <row r="3486">
      <c r="A3486" s="1">
        <f>IFERROR(__xludf.DUMMYFUNCTION("""COMPUTED_VALUE"""),866143.0)</f>
        <v>866143</v>
      </c>
      <c r="B3486" s="2">
        <f>IFERROR(__xludf.DUMMYFUNCTION("""COMPUTED_VALUE"""),42741.86687110819)</f>
        <v>42741.86687</v>
      </c>
      <c r="C3486" s="1" t="str">
        <f>IFERROR(__xludf.DUMMYFUNCTION("""COMPUTED_VALUE"""),"treatment")</f>
        <v>treatment</v>
      </c>
      <c r="D3486" s="1" t="str">
        <f>IFERROR(__xludf.DUMMYFUNCTION("""COMPUTED_VALUE"""),"new_page")</f>
        <v>new_page</v>
      </c>
      <c r="E3486" s="1">
        <f>IFERROR(__xludf.DUMMYFUNCTION("""COMPUTED_VALUE"""),0.0)</f>
        <v>0</v>
      </c>
    </row>
    <row r="3487">
      <c r="A3487" s="1">
        <f>IFERROR(__xludf.DUMMYFUNCTION("""COMPUTED_VALUE"""),723327.0)</f>
        <v>723327</v>
      </c>
      <c r="B3487" s="2">
        <f>IFERROR(__xludf.DUMMYFUNCTION("""COMPUTED_VALUE"""),42755.56182789171)</f>
        <v>42755.56183</v>
      </c>
      <c r="C3487" s="1" t="str">
        <f>IFERROR(__xludf.DUMMYFUNCTION("""COMPUTED_VALUE"""),"control")</f>
        <v>control</v>
      </c>
      <c r="D3487" s="1" t="str">
        <f>IFERROR(__xludf.DUMMYFUNCTION("""COMPUTED_VALUE"""),"old_page")</f>
        <v>old_page</v>
      </c>
      <c r="E3487" s="1">
        <f>IFERROR(__xludf.DUMMYFUNCTION("""COMPUTED_VALUE"""),0.0)</f>
        <v>0</v>
      </c>
    </row>
    <row r="3488">
      <c r="A3488" s="1">
        <f>IFERROR(__xludf.DUMMYFUNCTION("""COMPUTED_VALUE"""),803833.0)</f>
        <v>803833</v>
      </c>
      <c r="B3488" s="2">
        <f>IFERROR(__xludf.DUMMYFUNCTION("""COMPUTED_VALUE"""),42758.126578917)</f>
        <v>42758.12658</v>
      </c>
      <c r="C3488" s="1" t="str">
        <f>IFERROR(__xludf.DUMMYFUNCTION("""COMPUTED_VALUE"""),"control")</f>
        <v>control</v>
      </c>
      <c r="D3488" s="1" t="str">
        <f>IFERROR(__xludf.DUMMYFUNCTION("""COMPUTED_VALUE"""),"old_page")</f>
        <v>old_page</v>
      </c>
      <c r="E3488" s="1">
        <f>IFERROR(__xludf.DUMMYFUNCTION("""COMPUTED_VALUE"""),0.0)</f>
        <v>0</v>
      </c>
    </row>
    <row r="3489">
      <c r="A3489" s="1">
        <f>IFERROR(__xludf.DUMMYFUNCTION("""COMPUTED_VALUE"""),726865.0)</f>
        <v>726865</v>
      </c>
      <c r="B3489" s="2">
        <f>IFERROR(__xludf.DUMMYFUNCTION("""COMPUTED_VALUE"""),42743.89362297048)</f>
        <v>42743.89362</v>
      </c>
      <c r="C3489" s="1" t="str">
        <f>IFERROR(__xludf.DUMMYFUNCTION("""COMPUTED_VALUE"""),"control")</f>
        <v>control</v>
      </c>
      <c r="D3489" s="1" t="str">
        <f>IFERROR(__xludf.DUMMYFUNCTION("""COMPUTED_VALUE"""),"old_page")</f>
        <v>old_page</v>
      </c>
      <c r="E3489" s="1">
        <f>IFERROR(__xludf.DUMMYFUNCTION("""COMPUTED_VALUE"""),0.0)</f>
        <v>0</v>
      </c>
    </row>
    <row r="3490">
      <c r="A3490" s="1">
        <f>IFERROR(__xludf.DUMMYFUNCTION("""COMPUTED_VALUE"""),777333.0)</f>
        <v>777333</v>
      </c>
      <c r="B3490" s="2">
        <f>IFERROR(__xludf.DUMMYFUNCTION("""COMPUTED_VALUE"""),42752.61424644395)</f>
        <v>42752.61425</v>
      </c>
      <c r="C3490" s="1" t="str">
        <f>IFERROR(__xludf.DUMMYFUNCTION("""COMPUTED_VALUE"""),"treatment")</f>
        <v>treatment</v>
      </c>
      <c r="D3490" s="1" t="str">
        <f>IFERROR(__xludf.DUMMYFUNCTION("""COMPUTED_VALUE"""),"new_page")</f>
        <v>new_page</v>
      </c>
      <c r="E3490" s="1">
        <f>IFERROR(__xludf.DUMMYFUNCTION("""COMPUTED_VALUE"""),0.0)</f>
        <v>0</v>
      </c>
    </row>
    <row r="3491">
      <c r="A3491" s="1">
        <f>IFERROR(__xludf.DUMMYFUNCTION("""COMPUTED_VALUE"""),899953.0)</f>
        <v>899953</v>
      </c>
      <c r="B3491" s="2">
        <f>IFERROR(__xludf.DUMMYFUNCTION("""COMPUTED_VALUE"""),42740.23335787779)</f>
        <v>42740.23336</v>
      </c>
      <c r="C3491" s="1" t="str">
        <f>IFERROR(__xludf.DUMMYFUNCTION("""COMPUTED_VALUE"""),"treatment")</f>
        <v>treatment</v>
      </c>
      <c r="D3491" s="1" t="str">
        <f>IFERROR(__xludf.DUMMYFUNCTION("""COMPUTED_VALUE"""),"new_page")</f>
        <v>new_page</v>
      </c>
      <c r="E3491" s="1">
        <f>IFERROR(__xludf.DUMMYFUNCTION("""COMPUTED_VALUE"""),0.0)</f>
        <v>0</v>
      </c>
    </row>
    <row r="3492">
      <c r="A3492" s="1">
        <f>IFERROR(__xludf.DUMMYFUNCTION("""COMPUTED_VALUE"""),713765.0)</f>
        <v>713765</v>
      </c>
      <c r="B3492" s="2">
        <f>IFERROR(__xludf.DUMMYFUNCTION("""COMPUTED_VALUE"""),42740.940292947686)</f>
        <v>42740.94029</v>
      </c>
      <c r="C3492" s="1" t="str">
        <f>IFERROR(__xludf.DUMMYFUNCTION("""COMPUTED_VALUE"""),"control")</f>
        <v>control</v>
      </c>
      <c r="D3492" s="1" t="str">
        <f>IFERROR(__xludf.DUMMYFUNCTION("""COMPUTED_VALUE"""),"old_page")</f>
        <v>old_page</v>
      </c>
      <c r="E3492" s="1">
        <f>IFERROR(__xludf.DUMMYFUNCTION("""COMPUTED_VALUE"""),0.0)</f>
        <v>0</v>
      </c>
    </row>
    <row r="3493">
      <c r="A3493" s="1">
        <f>IFERROR(__xludf.DUMMYFUNCTION("""COMPUTED_VALUE"""),821410.0)</f>
        <v>821410</v>
      </c>
      <c r="B3493" s="2">
        <f>IFERROR(__xludf.DUMMYFUNCTION("""COMPUTED_VALUE"""),42753.94469509012)</f>
        <v>42753.9447</v>
      </c>
      <c r="C3493" s="1" t="str">
        <f>IFERROR(__xludf.DUMMYFUNCTION("""COMPUTED_VALUE"""),"control")</f>
        <v>control</v>
      </c>
      <c r="D3493" s="1" t="str">
        <f>IFERROR(__xludf.DUMMYFUNCTION("""COMPUTED_VALUE"""),"old_page")</f>
        <v>old_page</v>
      </c>
      <c r="E3493" s="1">
        <f>IFERROR(__xludf.DUMMYFUNCTION("""COMPUTED_VALUE"""),0.0)</f>
        <v>0</v>
      </c>
    </row>
    <row r="3494">
      <c r="A3494" s="1">
        <f>IFERROR(__xludf.DUMMYFUNCTION("""COMPUTED_VALUE"""),788757.0)</f>
        <v>788757</v>
      </c>
      <c r="B3494" s="2">
        <f>IFERROR(__xludf.DUMMYFUNCTION("""COMPUTED_VALUE"""),42758.53477291755)</f>
        <v>42758.53477</v>
      </c>
      <c r="C3494" s="1" t="str">
        <f>IFERROR(__xludf.DUMMYFUNCTION("""COMPUTED_VALUE"""),"control")</f>
        <v>control</v>
      </c>
      <c r="D3494" s="1" t="str">
        <f>IFERROR(__xludf.DUMMYFUNCTION("""COMPUTED_VALUE"""),"old_page")</f>
        <v>old_page</v>
      </c>
      <c r="E3494" s="1">
        <f>IFERROR(__xludf.DUMMYFUNCTION("""COMPUTED_VALUE"""),0.0)</f>
        <v>0</v>
      </c>
    </row>
    <row r="3495">
      <c r="A3495" s="1">
        <f>IFERROR(__xludf.DUMMYFUNCTION("""COMPUTED_VALUE"""),901074.0)</f>
        <v>901074</v>
      </c>
      <c r="B3495" s="2">
        <f>IFERROR(__xludf.DUMMYFUNCTION("""COMPUTED_VALUE"""),42739.890440250485)</f>
        <v>42739.89044</v>
      </c>
      <c r="C3495" s="1" t="str">
        <f>IFERROR(__xludf.DUMMYFUNCTION("""COMPUTED_VALUE"""),"control")</f>
        <v>control</v>
      </c>
      <c r="D3495" s="1" t="str">
        <f>IFERROR(__xludf.DUMMYFUNCTION("""COMPUTED_VALUE"""),"old_page")</f>
        <v>old_page</v>
      </c>
      <c r="E3495" s="1">
        <f>IFERROR(__xludf.DUMMYFUNCTION("""COMPUTED_VALUE"""),0.0)</f>
        <v>0</v>
      </c>
    </row>
    <row r="3496">
      <c r="A3496" s="1">
        <f>IFERROR(__xludf.DUMMYFUNCTION("""COMPUTED_VALUE"""),698399.0)</f>
        <v>698399</v>
      </c>
      <c r="B3496" s="2">
        <f>IFERROR(__xludf.DUMMYFUNCTION("""COMPUTED_VALUE"""),42744.48597736696)</f>
        <v>42744.48598</v>
      </c>
      <c r="C3496" s="1" t="str">
        <f>IFERROR(__xludf.DUMMYFUNCTION("""COMPUTED_VALUE"""),"treatment")</f>
        <v>treatment</v>
      </c>
      <c r="D3496" s="1" t="str">
        <f>IFERROR(__xludf.DUMMYFUNCTION("""COMPUTED_VALUE"""),"new_page")</f>
        <v>new_page</v>
      </c>
      <c r="E3496" s="1">
        <f>IFERROR(__xludf.DUMMYFUNCTION("""COMPUTED_VALUE"""),0.0)</f>
        <v>0</v>
      </c>
    </row>
    <row r="3497">
      <c r="A3497" s="1">
        <f>IFERROR(__xludf.DUMMYFUNCTION("""COMPUTED_VALUE"""),761802.0)</f>
        <v>761802</v>
      </c>
      <c r="B3497" s="2">
        <f>IFERROR(__xludf.DUMMYFUNCTION("""COMPUTED_VALUE"""),42747.84906252962)</f>
        <v>42747.84906</v>
      </c>
      <c r="C3497" s="1" t="str">
        <f>IFERROR(__xludf.DUMMYFUNCTION("""COMPUTED_VALUE"""),"treatment")</f>
        <v>treatment</v>
      </c>
      <c r="D3497" s="1" t="str">
        <f>IFERROR(__xludf.DUMMYFUNCTION("""COMPUTED_VALUE"""),"new_page")</f>
        <v>new_page</v>
      </c>
      <c r="E3497" s="1">
        <f>IFERROR(__xludf.DUMMYFUNCTION("""COMPUTED_VALUE"""),0.0)</f>
        <v>0</v>
      </c>
    </row>
    <row r="3498">
      <c r="A3498" s="1">
        <f>IFERROR(__xludf.DUMMYFUNCTION("""COMPUTED_VALUE"""),878705.0)</f>
        <v>878705</v>
      </c>
      <c r="B3498" s="2">
        <f>IFERROR(__xludf.DUMMYFUNCTION("""COMPUTED_VALUE"""),42752.018282870675)</f>
        <v>42752.01828</v>
      </c>
      <c r="C3498" s="1" t="str">
        <f>IFERROR(__xludf.DUMMYFUNCTION("""COMPUTED_VALUE"""),"control")</f>
        <v>control</v>
      </c>
      <c r="D3498" s="1" t="str">
        <f>IFERROR(__xludf.DUMMYFUNCTION("""COMPUTED_VALUE"""),"old_page")</f>
        <v>old_page</v>
      </c>
      <c r="E3498" s="1">
        <f>IFERROR(__xludf.DUMMYFUNCTION("""COMPUTED_VALUE"""),0.0)</f>
        <v>0</v>
      </c>
    </row>
    <row r="3499">
      <c r="A3499" s="1">
        <f>IFERROR(__xludf.DUMMYFUNCTION("""COMPUTED_VALUE"""),817253.0)</f>
        <v>817253</v>
      </c>
      <c r="B3499" s="2">
        <f>IFERROR(__xludf.DUMMYFUNCTION("""COMPUTED_VALUE"""),42744.56728241977)</f>
        <v>42744.56728</v>
      </c>
      <c r="C3499" s="1" t="str">
        <f>IFERROR(__xludf.DUMMYFUNCTION("""COMPUTED_VALUE"""),"treatment")</f>
        <v>treatment</v>
      </c>
      <c r="D3499" s="1" t="str">
        <f>IFERROR(__xludf.DUMMYFUNCTION("""COMPUTED_VALUE"""),"new_page")</f>
        <v>new_page</v>
      </c>
      <c r="E3499" s="1">
        <f>IFERROR(__xludf.DUMMYFUNCTION("""COMPUTED_VALUE"""),0.0)</f>
        <v>0</v>
      </c>
    </row>
    <row r="3500">
      <c r="A3500" s="1">
        <f>IFERROR(__xludf.DUMMYFUNCTION("""COMPUTED_VALUE"""),864783.0)</f>
        <v>864783</v>
      </c>
      <c r="B3500" s="2">
        <f>IFERROR(__xludf.DUMMYFUNCTION("""COMPUTED_VALUE"""),42740.34810252439)</f>
        <v>42740.3481</v>
      </c>
      <c r="C3500" s="1" t="str">
        <f>IFERROR(__xludf.DUMMYFUNCTION("""COMPUTED_VALUE"""),"control")</f>
        <v>control</v>
      </c>
      <c r="D3500" s="1" t="str">
        <f>IFERROR(__xludf.DUMMYFUNCTION("""COMPUTED_VALUE"""),"old_page")</f>
        <v>old_page</v>
      </c>
      <c r="E3500" s="1">
        <f>IFERROR(__xludf.DUMMYFUNCTION("""COMPUTED_VALUE"""),0.0)</f>
        <v>0</v>
      </c>
    </row>
    <row r="3501">
      <c r="A3501" s="1">
        <f>IFERROR(__xludf.DUMMYFUNCTION("""COMPUTED_VALUE"""),885412.0)</f>
        <v>885412</v>
      </c>
      <c r="B3501" s="2">
        <f>IFERROR(__xludf.DUMMYFUNCTION("""COMPUTED_VALUE"""),42741.85140508175)</f>
        <v>42741.85141</v>
      </c>
      <c r="C3501" s="1" t="str">
        <f>IFERROR(__xludf.DUMMYFUNCTION("""COMPUTED_VALUE"""),"treatment")</f>
        <v>treatment</v>
      </c>
      <c r="D3501" s="1" t="str">
        <f>IFERROR(__xludf.DUMMYFUNCTION("""COMPUTED_VALUE"""),"new_page")</f>
        <v>new_page</v>
      </c>
      <c r="E3501" s="1">
        <f>IFERROR(__xludf.DUMMYFUNCTION("""COMPUTED_VALUE"""),0.0)</f>
        <v>0</v>
      </c>
    </row>
    <row r="3502">
      <c r="A3502" s="1">
        <f>IFERROR(__xludf.DUMMYFUNCTION("""COMPUTED_VALUE"""),635436.0)</f>
        <v>635436</v>
      </c>
      <c r="B3502" s="2">
        <f>IFERROR(__xludf.DUMMYFUNCTION("""COMPUTED_VALUE"""),42754.64285682692)</f>
        <v>42754.64286</v>
      </c>
      <c r="C3502" s="1" t="str">
        <f>IFERROR(__xludf.DUMMYFUNCTION("""COMPUTED_VALUE"""),"control")</f>
        <v>control</v>
      </c>
      <c r="D3502" s="1" t="str">
        <f>IFERROR(__xludf.DUMMYFUNCTION("""COMPUTED_VALUE"""),"old_page")</f>
        <v>old_page</v>
      </c>
      <c r="E3502" s="1">
        <f>IFERROR(__xludf.DUMMYFUNCTION("""COMPUTED_VALUE"""),1.0)</f>
        <v>1</v>
      </c>
    </row>
    <row r="3503">
      <c r="A3503" s="1">
        <f>IFERROR(__xludf.DUMMYFUNCTION("""COMPUTED_VALUE"""),784392.0)</f>
        <v>784392</v>
      </c>
      <c r="B3503" s="2">
        <f>IFERROR(__xludf.DUMMYFUNCTION("""COMPUTED_VALUE"""),42757.95294411645)</f>
        <v>42757.95294</v>
      </c>
      <c r="C3503" s="1" t="str">
        <f>IFERROR(__xludf.DUMMYFUNCTION("""COMPUTED_VALUE"""),"treatment")</f>
        <v>treatment</v>
      </c>
      <c r="D3503" s="1" t="str">
        <f>IFERROR(__xludf.DUMMYFUNCTION("""COMPUTED_VALUE"""),"new_page")</f>
        <v>new_page</v>
      </c>
      <c r="E3503" s="1">
        <f>IFERROR(__xludf.DUMMYFUNCTION("""COMPUTED_VALUE"""),0.0)</f>
        <v>0</v>
      </c>
    </row>
    <row r="3504">
      <c r="A3504" s="1">
        <f>IFERROR(__xludf.DUMMYFUNCTION("""COMPUTED_VALUE"""),844186.0)</f>
        <v>844186</v>
      </c>
      <c r="B3504" s="2">
        <f>IFERROR(__xludf.DUMMYFUNCTION("""COMPUTED_VALUE"""),42740.16178470453)</f>
        <v>42740.16178</v>
      </c>
      <c r="C3504" s="1" t="str">
        <f>IFERROR(__xludf.DUMMYFUNCTION("""COMPUTED_VALUE"""),"treatment")</f>
        <v>treatment</v>
      </c>
      <c r="D3504" s="1" t="str">
        <f>IFERROR(__xludf.DUMMYFUNCTION("""COMPUTED_VALUE"""),"new_page")</f>
        <v>new_page</v>
      </c>
      <c r="E3504" s="1">
        <f>IFERROR(__xludf.DUMMYFUNCTION("""COMPUTED_VALUE"""),0.0)</f>
        <v>0</v>
      </c>
    </row>
    <row r="3505">
      <c r="A3505" s="1">
        <f>IFERROR(__xludf.DUMMYFUNCTION("""COMPUTED_VALUE"""),677928.0)</f>
        <v>677928</v>
      </c>
      <c r="B3505" s="2">
        <f>IFERROR(__xludf.DUMMYFUNCTION("""COMPUTED_VALUE"""),42750.87148624361)</f>
        <v>42750.87149</v>
      </c>
      <c r="C3505" s="1" t="str">
        <f>IFERROR(__xludf.DUMMYFUNCTION("""COMPUTED_VALUE"""),"control")</f>
        <v>control</v>
      </c>
      <c r="D3505" s="1" t="str">
        <f>IFERROR(__xludf.DUMMYFUNCTION("""COMPUTED_VALUE"""),"old_page")</f>
        <v>old_page</v>
      </c>
      <c r="E3505" s="1">
        <f>IFERROR(__xludf.DUMMYFUNCTION("""COMPUTED_VALUE"""),0.0)</f>
        <v>0</v>
      </c>
    </row>
    <row r="3506">
      <c r="A3506" s="1">
        <f>IFERROR(__xludf.DUMMYFUNCTION("""COMPUTED_VALUE"""),783065.0)</f>
        <v>783065</v>
      </c>
      <c r="B3506" s="2">
        <f>IFERROR(__xludf.DUMMYFUNCTION("""COMPUTED_VALUE"""),42747.91623565044)</f>
        <v>42747.91624</v>
      </c>
      <c r="C3506" s="1" t="str">
        <f>IFERROR(__xludf.DUMMYFUNCTION("""COMPUTED_VALUE"""),"control")</f>
        <v>control</v>
      </c>
      <c r="D3506" s="1" t="str">
        <f>IFERROR(__xludf.DUMMYFUNCTION("""COMPUTED_VALUE"""),"old_page")</f>
        <v>old_page</v>
      </c>
      <c r="E3506" s="1">
        <f>IFERROR(__xludf.DUMMYFUNCTION("""COMPUTED_VALUE"""),0.0)</f>
        <v>0</v>
      </c>
    </row>
    <row r="3507">
      <c r="A3507" s="1">
        <f>IFERROR(__xludf.DUMMYFUNCTION("""COMPUTED_VALUE"""),821792.0)</f>
        <v>821792</v>
      </c>
      <c r="B3507" s="2">
        <f>IFERROR(__xludf.DUMMYFUNCTION("""COMPUTED_VALUE"""),42753.63570000458)</f>
        <v>42753.6357</v>
      </c>
      <c r="C3507" s="1" t="str">
        <f>IFERROR(__xludf.DUMMYFUNCTION("""COMPUTED_VALUE"""),"control")</f>
        <v>control</v>
      </c>
      <c r="D3507" s="1" t="str">
        <f>IFERROR(__xludf.DUMMYFUNCTION("""COMPUTED_VALUE"""),"old_page")</f>
        <v>old_page</v>
      </c>
      <c r="E3507" s="1">
        <f>IFERROR(__xludf.DUMMYFUNCTION("""COMPUTED_VALUE"""),0.0)</f>
        <v>0</v>
      </c>
    </row>
    <row r="3508">
      <c r="A3508" s="1">
        <f>IFERROR(__xludf.DUMMYFUNCTION("""COMPUTED_VALUE"""),641580.0)</f>
        <v>641580</v>
      </c>
      <c r="B3508" s="2">
        <f>IFERROR(__xludf.DUMMYFUNCTION("""COMPUTED_VALUE"""),42752.96712547696)</f>
        <v>42752.96713</v>
      </c>
      <c r="C3508" s="1" t="str">
        <f>IFERROR(__xludf.DUMMYFUNCTION("""COMPUTED_VALUE"""),"treatment")</f>
        <v>treatment</v>
      </c>
      <c r="D3508" s="1" t="str">
        <f>IFERROR(__xludf.DUMMYFUNCTION("""COMPUTED_VALUE"""),"new_page")</f>
        <v>new_page</v>
      </c>
      <c r="E3508" s="1">
        <f>IFERROR(__xludf.DUMMYFUNCTION("""COMPUTED_VALUE"""),0.0)</f>
        <v>0</v>
      </c>
    </row>
    <row r="3509">
      <c r="A3509" s="1">
        <f>IFERROR(__xludf.DUMMYFUNCTION("""COMPUTED_VALUE"""),721468.0)</f>
        <v>721468</v>
      </c>
      <c r="B3509" s="2">
        <f>IFERROR(__xludf.DUMMYFUNCTION("""COMPUTED_VALUE"""),42748.15361720558)</f>
        <v>42748.15362</v>
      </c>
      <c r="C3509" s="1" t="str">
        <f>IFERROR(__xludf.DUMMYFUNCTION("""COMPUTED_VALUE"""),"control")</f>
        <v>control</v>
      </c>
      <c r="D3509" s="1" t="str">
        <f>IFERROR(__xludf.DUMMYFUNCTION("""COMPUTED_VALUE"""),"old_page")</f>
        <v>old_page</v>
      </c>
      <c r="E3509" s="1">
        <f>IFERROR(__xludf.DUMMYFUNCTION("""COMPUTED_VALUE"""),0.0)</f>
        <v>0</v>
      </c>
    </row>
    <row r="3510">
      <c r="A3510" s="1">
        <f>IFERROR(__xludf.DUMMYFUNCTION("""COMPUTED_VALUE"""),732272.0)</f>
        <v>732272</v>
      </c>
      <c r="B3510" s="2">
        <f>IFERROR(__xludf.DUMMYFUNCTION("""COMPUTED_VALUE"""),42751.91112913368)</f>
        <v>42751.91113</v>
      </c>
      <c r="C3510" s="1" t="str">
        <f>IFERROR(__xludf.DUMMYFUNCTION("""COMPUTED_VALUE"""),"control")</f>
        <v>control</v>
      </c>
      <c r="D3510" s="1" t="str">
        <f>IFERROR(__xludf.DUMMYFUNCTION("""COMPUTED_VALUE"""),"old_page")</f>
        <v>old_page</v>
      </c>
      <c r="E3510" s="1">
        <f>IFERROR(__xludf.DUMMYFUNCTION("""COMPUTED_VALUE"""),0.0)</f>
        <v>0</v>
      </c>
    </row>
    <row r="3511">
      <c r="A3511" s="1">
        <f>IFERROR(__xludf.DUMMYFUNCTION("""COMPUTED_VALUE"""),882059.0)</f>
        <v>882059</v>
      </c>
      <c r="B3511" s="2">
        <f>IFERROR(__xludf.DUMMYFUNCTION("""COMPUTED_VALUE"""),42743.42517527067)</f>
        <v>42743.42518</v>
      </c>
      <c r="C3511" s="1" t="str">
        <f>IFERROR(__xludf.DUMMYFUNCTION("""COMPUTED_VALUE"""),"control")</f>
        <v>control</v>
      </c>
      <c r="D3511" s="1" t="str">
        <f>IFERROR(__xludf.DUMMYFUNCTION("""COMPUTED_VALUE"""),"old_page")</f>
        <v>old_page</v>
      </c>
      <c r="E3511" s="1">
        <f>IFERROR(__xludf.DUMMYFUNCTION("""COMPUTED_VALUE"""),0.0)</f>
        <v>0</v>
      </c>
    </row>
    <row r="3512">
      <c r="A3512" s="1">
        <f>IFERROR(__xludf.DUMMYFUNCTION("""COMPUTED_VALUE"""),925734.0)</f>
        <v>925734</v>
      </c>
      <c r="B3512" s="2">
        <f>IFERROR(__xludf.DUMMYFUNCTION("""COMPUTED_VALUE"""),42739.6203921311)</f>
        <v>42739.62039</v>
      </c>
      <c r="C3512" s="1" t="str">
        <f>IFERROR(__xludf.DUMMYFUNCTION("""COMPUTED_VALUE"""),"control")</f>
        <v>control</v>
      </c>
      <c r="D3512" s="1" t="str">
        <f>IFERROR(__xludf.DUMMYFUNCTION("""COMPUTED_VALUE"""),"old_page")</f>
        <v>old_page</v>
      </c>
      <c r="E3512" s="1">
        <f>IFERROR(__xludf.DUMMYFUNCTION("""COMPUTED_VALUE"""),0.0)</f>
        <v>0</v>
      </c>
    </row>
    <row r="3513">
      <c r="A3513" s="1">
        <f>IFERROR(__xludf.DUMMYFUNCTION("""COMPUTED_VALUE"""),765368.0)</f>
        <v>765368</v>
      </c>
      <c r="B3513" s="2">
        <f>IFERROR(__xludf.DUMMYFUNCTION("""COMPUTED_VALUE"""),42748.93524068747)</f>
        <v>42748.93524</v>
      </c>
      <c r="C3513" s="1" t="str">
        <f>IFERROR(__xludf.DUMMYFUNCTION("""COMPUTED_VALUE"""),"control")</f>
        <v>control</v>
      </c>
      <c r="D3513" s="1" t="str">
        <f>IFERROR(__xludf.DUMMYFUNCTION("""COMPUTED_VALUE"""),"old_page")</f>
        <v>old_page</v>
      </c>
      <c r="E3513" s="1">
        <f>IFERROR(__xludf.DUMMYFUNCTION("""COMPUTED_VALUE"""),0.0)</f>
        <v>0</v>
      </c>
    </row>
    <row r="3514">
      <c r="A3514" s="1">
        <f>IFERROR(__xludf.DUMMYFUNCTION("""COMPUTED_VALUE"""),871233.0)</f>
        <v>871233</v>
      </c>
      <c r="B3514" s="2">
        <f>IFERROR(__xludf.DUMMYFUNCTION("""COMPUTED_VALUE"""),42750.72537583542)</f>
        <v>42750.72538</v>
      </c>
      <c r="C3514" s="1" t="str">
        <f>IFERROR(__xludf.DUMMYFUNCTION("""COMPUTED_VALUE"""),"treatment")</f>
        <v>treatment</v>
      </c>
      <c r="D3514" s="1" t="str">
        <f>IFERROR(__xludf.DUMMYFUNCTION("""COMPUTED_VALUE"""),"new_page")</f>
        <v>new_page</v>
      </c>
      <c r="E3514" s="1">
        <f>IFERROR(__xludf.DUMMYFUNCTION("""COMPUTED_VALUE"""),0.0)</f>
        <v>0</v>
      </c>
    </row>
    <row r="3515">
      <c r="A3515" s="1">
        <f>IFERROR(__xludf.DUMMYFUNCTION("""COMPUTED_VALUE"""),823180.0)</f>
        <v>823180</v>
      </c>
      <c r="B3515" s="2">
        <f>IFERROR(__xludf.DUMMYFUNCTION("""COMPUTED_VALUE"""),42742.2473231178)</f>
        <v>42742.24732</v>
      </c>
      <c r="C3515" s="1" t="str">
        <f>IFERROR(__xludf.DUMMYFUNCTION("""COMPUTED_VALUE"""),"control")</f>
        <v>control</v>
      </c>
      <c r="D3515" s="1" t="str">
        <f>IFERROR(__xludf.DUMMYFUNCTION("""COMPUTED_VALUE"""),"old_page")</f>
        <v>old_page</v>
      </c>
      <c r="E3515" s="1">
        <f>IFERROR(__xludf.DUMMYFUNCTION("""COMPUTED_VALUE"""),0.0)</f>
        <v>0</v>
      </c>
    </row>
    <row r="3516">
      <c r="A3516" s="1">
        <f>IFERROR(__xludf.DUMMYFUNCTION("""COMPUTED_VALUE"""),650525.0)</f>
        <v>650525</v>
      </c>
      <c r="B3516" s="2">
        <f>IFERROR(__xludf.DUMMYFUNCTION("""COMPUTED_VALUE"""),42752.89592682164)</f>
        <v>42752.89593</v>
      </c>
      <c r="C3516" s="1" t="str">
        <f>IFERROR(__xludf.DUMMYFUNCTION("""COMPUTED_VALUE"""),"treatment")</f>
        <v>treatment</v>
      </c>
      <c r="D3516" s="1" t="str">
        <f>IFERROR(__xludf.DUMMYFUNCTION("""COMPUTED_VALUE"""),"new_page")</f>
        <v>new_page</v>
      </c>
      <c r="E3516" s="1">
        <f>IFERROR(__xludf.DUMMYFUNCTION("""COMPUTED_VALUE"""),0.0)</f>
        <v>0</v>
      </c>
    </row>
    <row r="3517">
      <c r="A3517" s="1">
        <f>IFERROR(__xludf.DUMMYFUNCTION("""COMPUTED_VALUE"""),715790.0)</f>
        <v>715790</v>
      </c>
      <c r="B3517" s="2">
        <f>IFERROR(__xludf.DUMMYFUNCTION("""COMPUTED_VALUE"""),42751.95863711677)</f>
        <v>42751.95864</v>
      </c>
      <c r="C3517" s="1" t="str">
        <f>IFERROR(__xludf.DUMMYFUNCTION("""COMPUTED_VALUE"""),"treatment")</f>
        <v>treatment</v>
      </c>
      <c r="D3517" s="1" t="str">
        <f>IFERROR(__xludf.DUMMYFUNCTION("""COMPUTED_VALUE"""),"new_page")</f>
        <v>new_page</v>
      </c>
      <c r="E3517" s="1">
        <f>IFERROR(__xludf.DUMMYFUNCTION("""COMPUTED_VALUE"""),1.0)</f>
        <v>1</v>
      </c>
    </row>
    <row r="3518">
      <c r="A3518" s="1">
        <f>IFERROR(__xludf.DUMMYFUNCTION("""COMPUTED_VALUE"""),809314.0)</f>
        <v>809314</v>
      </c>
      <c r="B3518" s="2">
        <f>IFERROR(__xludf.DUMMYFUNCTION("""COMPUTED_VALUE"""),42758.70819511857)</f>
        <v>42758.7082</v>
      </c>
      <c r="C3518" s="1" t="str">
        <f>IFERROR(__xludf.DUMMYFUNCTION("""COMPUTED_VALUE"""),"treatment")</f>
        <v>treatment</v>
      </c>
      <c r="D3518" s="1" t="str">
        <f>IFERROR(__xludf.DUMMYFUNCTION("""COMPUTED_VALUE"""),"new_page")</f>
        <v>new_page</v>
      </c>
      <c r="E3518" s="1">
        <f>IFERROR(__xludf.DUMMYFUNCTION("""COMPUTED_VALUE"""),1.0)</f>
        <v>1</v>
      </c>
    </row>
    <row r="3519">
      <c r="A3519" s="1">
        <f>IFERROR(__xludf.DUMMYFUNCTION("""COMPUTED_VALUE"""),866500.0)</f>
        <v>866500</v>
      </c>
      <c r="B3519" s="2">
        <f>IFERROR(__xludf.DUMMYFUNCTION("""COMPUTED_VALUE"""),42742.97361442509)</f>
        <v>42742.97361</v>
      </c>
      <c r="C3519" s="1" t="str">
        <f>IFERROR(__xludf.DUMMYFUNCTION("""COMPUTED_VALUE"""),"treatment")</f>
        <v>treatment</v>
      </c>
      <c r="D3519" s="1" t="str">
        <f>IFERROR(__xludf.DUMMYFUNCTION("""COMPUTED_VALUE"""),"new_page")</f>
        <v>new_page</v>
      </c>
      <c r="E3519" s="1">
        <f>IFERROR(__xludf.DUMMYFUNCTION("""COMPUTED_VALUE"""),0.0)</f>
        <v>0</v>
      </c>
    </row>
    <row r="3520">
      <c r="A3520" s="1">
        <f>IFERROR(__xludf.DUMMYFUNCTION("""COMPUTED_VALUE"""),848569.0)</f>
        <v>848569</v>
      </c>
      <c r="B3520" s="2">
        <f>IFERROR(__xludf.DUMMYFUNCTION("""COMPUTED_VALUE"""),42751.97260549506)</f>
        <v>42751.97261</v>
      </c>
      <c r="C3520" s="1" t="str">
        <f>IFERROR(__xludf.DUMMYFUNCTION("""COMPUTED_VALUE"""),"treatment")</f>
        <v>treatment</v>
      </c>
      <c r="D3520" s="1" t="str">
        <f>IFERROR(__xludf.DUMMYFUNCTION("""COMPUTED_VALUE"""),"new_page")</f>
        <v>new_page</v>
      </c>
      <c r="E3520" s="1">
        <f>IFERROR(__xludf.DUMMYFUNCTION("""COMPUTED_VALUE"""),0.0)</f>
        <v>0</v>
      </c>
    </row>
    <row r="3521">
      <c r="A3521" s="1">
        <f>IFERROR(__xludf.DUMMYFUNCTION("""COMPUTED_VALUE"""),866988.0)</f>
        <v>866988</v>
      </c>
      <c r="B3521" s="2">
        <f>IFERROR(__xludf.DUMMYFUNCTION("""COMPUTED_VALUE"""),42758.05607981687)</f>
        <v>42758.05608</v>
      </c>
      <c r="C3521" s="1" t="str">
        <f>IFERROR(__xludf.DUMMYFUNCTION("""COMPUTED_VALUE"""),"treatment")</f>
        <v>treatment</v>
      </c>
      <c r="D3521" s="1" t="str">
        <f>IFERROR(__xludf.DUMMYFUNCTION("""COMPUTED_VALUE"""),"new_page")</f>
        <v>new_page</v>
      </c>
      <c r="E3521" s="1">
        <f>IFERROR(__xludf.DUMMYFUNCTION("""COMPUTED_VALUE"""),0.0)</f>
        <v>0</v>
      </c>
    </row>
    <row r="3522">
      <c r="A3522" s="1">
        <f>IFERROR(__xludf.DUMMYFUNCTION("""COMPUTED_VALUE"""),779579.0)</f>
        <v>779579</v>
      </c>
      <c r="B3522" s="2">
        <f>IFERROR(__xludf.DUMMYFUNCTION("""COMPUTED_VALUE"""),42740.7869842325)</f>
        <v>42740.78698</v>
      </c>
      <c r="C3522" s="1" t="str">
        <f>IFERROR(__xludf.DUMMYFUNCTION("""COMPUTED_VALUE"""),"treatment")</f>
        <v>treatment</v>
      </c>
      <c r="D3522" s="1" t="str">
        <f>IFERROR(__xludf.DUMMYFUNCTION("""COMPUTED_VALUE"""),"new_page")</f>
        <v>new_page</v>
      </c>
      <c r="E3522" s="1">
        <f>IFERROR(__xludf.DUMMYFUNCTION("""COMPUTED_VALUE"""),0.0)</f>
        <v>0</v>
      </c>
    </row>
    <row r="3523">
      <c r="A3523" s="1">
        <f>IFERROR(__xludf.DUMMYFUNCTION("""COMPUTED_VALUE"""),850626.0)</f>
        <v>850626</v>
      </c>
      <c r="B3523" s="2">
        <f>IFERROR(__xludf.DUMMYFUNCTION("""COMPUTED_VALUE"""),42759.32991992707)</f>
        <v>42759.32992</v>
      </c>
      <c r="C3523" s="1" t="str">
        <f>IFERROR(__xludf.DUMMYFUNCTION("""COMPUTED_VALUE"""),"control")</f>
        <v>control</v>
      </c>
      <c r="D3523" s="1" t="str">
        <f>IFERROR(__xludf.DUMMYFUNCTION("""COMPUTED_VALUE"""),"old_page")</f>
        <v>old_page</v>
      </c>
      <c r="E3523" s="1">
        <f>IFERROR(__xludf.DUMMYFUNCTION("""COMPUTED_VALUE"""),0.0)</f>
        <v>0</v>
      </c>
    </row>
    <row r="3524">
      <c r="A3524" s="1">
        <f>IFERROR(__xludf.DUMMYFUNCTION("""COMPUTED_VALUE"""),850274.0)</f>
        <v>850274</v>
      </c>
      <c r="B3524" s="2">
        <f>IFERROR(__xludf.DUMMYFUNCTION("""COMPUTED_VALUE"""),42755.486987419245)</f>
        <v>42755.48699</v>
      </c>
      <c r="C3524" s="1" t="str">
        <f>IFERROR(__xludf.DUMMYFUNCTION("""COMPUTED_VALUE"""),"treatment")</f>
        <v>treatment</v>
      </c>
      <c r="D3524" s="1" t="str">
        <f>IFERROR(__xludf.DUMMYFUNCTION("""COMPUTED_VALUE"""),"new_page")</f>
        <v>new_page</v>
      </c>
      <c r="E3524" s="1">
        <f>IFERROR(__xludf.DUMMYFUNCTION("""COMPUTED_VALUE"""),0.0)</f>
        <v>0</v>
      </c>
    </row>
    <row r="3525">
      <c r="A3525" s="1">
        <f>IFERROR(__xludf.DUMMYFUNCTION("""COMPUTED_VALUE"""),735794.0)</f>
        <v>735794</v>
      </c>
      <c r="B3525" s="2">
        <f>IFERROR(__xludf.DUMMYFUNCTION("""COMPUTED_VALUE"""),42748.858153822846)</f>
        <v>42748.85815</v>
      </c>
      <c r="C3525" s="1" t="str">
        <f>IFERROR(__xludf.DUMMYFUNCTION("""COMPUTED_VALUE"""),"control")</f>
        <v>control</v>
      </c>
      <c r="D3525" s="1" t="str">
        <f>IFERROR(__xludf.DUMMYFUNCTION("""COMPUTED_VALUE"""),"old_page")</f>
        <v>old_page</v>
      </c>
      <c r="E3525" s="1">
        <f>IFERROR(__xludf.DUMMYFUNCTION("""COMPUTED_VALUE"""),0.0)</f>
        <v>0</v>
      </c>
    </row>
    <row r="3526">
      <c r="A3526" s="1">
        <f>IFERROR(__xludf.DUMMYFUNCTION("""COMPUTED_VALUE"""),879302.0)</f>
        <v>879302</v>
      </c>
      <c r="B3526" s="2">
        <f>IFERROR(__xludf.DUMMYFUNCTION("""COMPUTED_VALUE"""),42741.915453549)</f>
        <v>42741.91545</v>
      </c>
      <c r="C3526" s="1" t="str">
        <f>IFERROR(__xludf.DUMMYFUNCTION("""COMPUTED_VALUE"""),"control")</f>
        <v>control</v>
      </c>
      <c r="D3526" s="1" t="str">
        <f>IFERROR(__xludf.DUMMYFUNCTION("""COMPUTED_VALUE"""),"old_page")</f>
        <v>old_page</v>
      </c>
      <c r="E3526" s="1">
        <f>IFERROR(__xludf.DUMMYFUNCTION("""COMPUTED_VALUE"""),0.0)</f>
        <v>0</v>
      </c>
    </row>
    <row r="3527">
      <c r="A3527" s="1">
        <f>IFERROR(__xludf.DUMMYFUNCTION("""COMPUTED_VALUE"""),812039.0)</f>
        <v>812039</v>
      </c>
      <c r="B3527" s="2">
        <f>IFERROR(__xludf.DUMMYFUNCTION("""COMPUTED_VALUE"""),42739.67926671036)</f>
        <v>42739.67927</v>
      </c>
      <c r="C3527" s="1" t="str">
        <f>IFERROR(__xludf.DUMMYFUNCTION("""COMPUTED_VALUE"""),"treatment")</f>
        <v>treatment</v>
      </c>
      <c r="D3527" s="1" t="str">
        <f>IFERROR(__xludf.DUMMYFUNCTION("""COMPUTED_VALUE"""),"new_page")</f>
        <v>new_page</v>
      </c>
      <c r="E3527" s="1">
        <f>IFERROR(__xludf.DUMMYFUNCTION("""COMPUTED_VALUE"""),0.0)</f>
        <v>0</v>
      </c>
    </row>
    <row r="3528">
      <c r="A3528" s="1">
        <f>IFERROR(__xludf.DUMMYFUNCTION("""COMPUTED_VALUE"""),708434.0)</f>
        <v>708434</v>
      </c>
      <c r="B3528" s="2">
        <f>IFERROR(__xludf.DUMMYFUNCTION("""COMPUTED_VALUE"""),42742.41409264228)</f>
        <v>42742.41409</v>
      </c>
      <c r="C3528" s="1" t="str">
        <f>IFERROR(__xludf.DUMMYFUNCTION("""COMPUTED_VALUE"""),"treatment")</f>
        <v>treatment</v>
      </c>
      <c r="D3528" s="1" t="str">
        <f>IFERROR(__xludf.DUMMYFUNCTION("""COMPUTED_VALUE"""),"new_page")</f>
        <v>new_page</v>
      </c>
      <c r="E3528" s="1">
        <f>IFERROR(__xludf.DUMMYFUNCTION("""COMPUTED_VALUE"""),0.0)</f>
        <v>0</v>
      </c>
    </row>
    <row r="3529">
      <c r="A3529" s="1">
        <f>IFERROR(__xludf.DUMMYFUNCTION("""COMPUTED_VALUE"""),645142.0)</f>
        <v>645142</v>
      </c>
      <c r="B3529" s="2">
        <f>IFERROR(__xludf.DUMMYFUNCTION("""COMPUTED_VALUE"""),42749.95250718066)</f>
        <v>42749.95251</v>
      </c>
      <c r="C3529" s="1" t="str">
        <f>IFERROR(__xludf.DUMMYFUNCTION("""COMPUTED_VALUE"""),"treatment")</f>
        <v>treatment</v>
      </c>
      <c r="D3529" s="1" t="str">
        <f>IFERROR(__xludf.DUMMYFUNCTION("""COMPUTED_VALUE"""),"new_page")</f>
        <v>new_page</v>
      </c>
      <c r="E3529" s="1">
        <f>IFERROR(__xludf.DUMMYFUNCTION("""COMPUTED_VALUE"""),0.0)</f>
        <v>0</v>
      </c>
    </row>
    <row r="3530">
      <c r="A3530" s="1">
        <f>IFERROR(__xludf.DUMMYFUNCTION("""COMPUTED_VALUE"""),669458.0)</f>
        <v>669458</v>
      </c>
      <c r="B3530" s="2">
        <f>IFERROR(__xludf.DUMMYFUNCTION("""COMPUTED_VALUE"""),42756.68681047559)</f>
        <v>42756.68681</v>
      </c>
      <c r="C3530" s="1" t="str">
        <f>IFERROR(__xludf.DUMMYFUNCTION("""COMPUTED_VALUE"""),"treatment")</f>
        <v>treatment</v>
      </c>
      <c r="D3530" s="1" t="str">
        <f>IFERROR(__xludf.DUMMYFUNCTION("""COMPUTED_VALUE"""),"new_page")</f>
        <v>new_page</v>
      </c>
      <c r="E3530" s="1">
        <f>IFERROR(__xludf.DUMMYFUNCTION("""COMPUTED_VALUE"""),1.0)</f>
        <v>1</v>
      </c>
    </row>
    <row r="3531">
      <c r="A3531" s="1">
        <f>IFERROR(__xludf.DUMMYFUNCTION("""COMPUTED_VALUE"""),934985.0)</f>
        <v>934985</v>
      </c>
      <c r="B3531" s="2">
        <f>IFERROR(__xludf.DUMMYFUNCTION("""COMPUTED_VALUE"""),42759.45414605454)</f>
        <v>42759.45415</v>
      </c>
      <c r="C3531" s="1" t="str">
        <f>IFERROR(__xludf.DUMMYFUNCTION("""COMPUTED_VALUE"""),"treatment")</f>
        <v>treatment</v>
      </c>
      <c r="D3531" s="1" t="str">
        <f>IFERROR(__xludf.DUMMYFUNCTION("""COMPUTED_VALUE"""),"new_page")</f>
        <v>new_page</v>
      </c>
      <c r="E3531" s="1">
        <f>IFERROR(__xludf.DUMMYFUNCTION("""COMPUTED_VALUE"""),0.0)</f>
        <v>0</v>
      </c>
    </row>
    <row r="3532">
      <c r="A3532" s="1">
        <f>IFERROR(__xludf.DUMMYFUNCTION("""COMPUTED_VALUE"""),656838.0)</f>
        <v>656838</v>
      </c>
      <c r="B3532" s="2">
        <f>IFERROR(__xludf.DUMMYFUNCTION("""COMPUTED_VALUE"""),42747.41491420281)</f>
        <v>42747.41491</v>
      </c>
      <c r="C3532" s="1" t="str">
        <f>IFERROR(__xludf.DUMMYFUNCTION("""COMPUTED_VALUE"""),"treatment")</f>
        <v>treatment</v>
      </c>
      <c r="D3532" s="1" t="str">
        <f>IFERROR(__xludf.DUMMYFUNCTION("""COMPUTED_VALUE"""),"new_page")</f>
        <v>new_page</v>
      </c>
      <c r="E3532" s="1">
        <f>IFERROR(__xludf.DUMMYFUNCTION("""COMPUTED_VALUE"""),0.0)</f>
        <v>0</v>
      </c>
    </row>
    <row r="3533">
      <c r="A3533" s="1">
        <f>IFERROR(__xludf.DUMMYFUNCTION("""COMPUTED_VALUE"""),669108.0)</f>
        <v>669108</v>
      </c>
      <c r="B3533" s="2">
        <f>IFERROR(__xludf.DUMMYFUNCTION("""COMPUTED_VALUE"""),42757.959228495754)</f>
        <v>42757.95923</v>
      </c>
      <c r="C3533" s="1" t="str">
        <f>IFERROR(__xludf.DUMMYFUNCTION("""COMPUTED_VALUE"""),"treatment")</f>
        <v>treatment</v>
      </c>
      <c r="D3533" s="1" t="str">
        <f>IFERROR(__xludf.DUMMYFUNCTION("""COMPUTED_VALUE"""),"new_page")</f>
        <v>new_page</v>
      </c>
      <c r="E3533" s="1">
        <f>IFERROR(__xludf.DUMMYFUNCTION("""COMPUTED_VALUE"""),0.0)</f>
        <v>0</v>
      </c>
    </row>
    <row r="3534">
      <c r="A3534" s="1">
        <f>IFERROR(__xludf.DUMMYFUNCTION("""COMPUTED_VALUE"""),861467.0)</f>
        <v>861467</v>
      </c>
      <c r="B3534" s="2">
        <f>IFERROR(__xludf.DUMMYFUNCTION("""COMPUTED_VALUE"""),42751.49131491904)</f>
        <v>42751.49131</v>
      </c>
      <c r="C3534" s="1" t="str">
        <f>IFERROR(__xludf.DUMMYFUNCTION("""COMPUTED_VALUE"""),"treatment")</f>
        <v>treatment</v>
      </c>
      <c r="D3534" s="1" t="str">
        <f>IFERROR(__xludf.DUMMYFUNCTION("""COMPUTED_VALUE"""),"new_page")</f>
        <v>new_page</v>
      </c>
      <c r="E3534" s="1">
        <f>IFERROR(__xludf.DUMMYFUNCTION("""COMPUTED_VALUE"""),0.0)</f>
        <v>0</v>
      </c>
    </row>
    <row r="3535">
      <c r="A3535" s="1">
        <f>IFERROR(__xludf.DUMMYFUNCTION("""COMPUTED_VALUE"""),878683.0)</f>
        <v>878683</v>
      </c>
      <c r="B3535" s="2">
        <f>IFERROR(__xludf.DUMMYFUNCTION("""COMPUTED_VALUE"""),42750.17016622286)</f>
        <v>42750.17017</v>
      </c>
      <c r="C3535" s="1" t="str">
        <f>IFERROR(__xludf.DUMMYFUNCTION("""COMPUTED_VALUE"""),"control")</f>
        <v>control</v>
      </c>
      <c r="D3535" s="1" t="str">
        <f>IFERROR(__xludf.DUMMYFUNCTION("""COMPUTED_VALUE"""),"old_page")</f>
        <v>old_page</v>
      </c>
      <c r="E3535" s="1">
        <f>IFERROR(__xludf.DUMMYFUNCTION("""COMPUTED_VALUE"""),0.0)</f>
        <v>0</v>
      </c>
    </row>
    <row r="3536">
      <c r="A3536" s="1">
        <f>IFERROR(__xludf.DUMMYFUNCTION("""COMPUTED_VALUE"""),795746.0)</f>
        <v>795746</v>
      </c>
      <c r="B3536" s="2">
        <f>IFERROR(__xludf.DUMMYFUNCTION("""COMPUTED_VALUE"""),42753.22103511351)</f>
        <v>42753.22104</v>
      </c>
      <c r="C3536" s="1" t="str">
        <f>IFERROR(__xludf.DUMMYFUNCTION("""COMPUTED_VALUE"""),"control")</f>
        <v>control</v>
      </c>
      <c r="D3536" s="1" t="str">
        <f>IFERROR(__xludf.DUMMYFUNCTION("""COMPUTED_VALUE"""),"old_page")</f>
        <v>old_page</v>
      </c>
      <c r="E3536" s="1">
        <f>IFERROR(__xludf.DUMMYFUNCTION("""COMPUTED_VALUE"""),0.0)</f>
        <v>0</v>
      </c>
    </row>
    <row r="3537">
      <c r="A3537" s="1">
        <f>IFERROR(__xludf.DUMMYFUNCTION("""COMPUTED_VALUE"""),933338.0)</f>
        <v>933338</v>
      </c>
      <c r="B3537" s="2">
        <f>IFERROR(__xludf.DUMMYFUNCTION("""COMPUTED_VALUE"""),42753.87702537832)</f>
        <v>42753.87703</v>
      </c>
      <c r="C3537" s="1" t="str">
        <f>IFERROR(__xludf.DUMMYFUNCTION("""COMPUTED_VALUE"""),"control")</f>
        <v>control</v>
      </c>
      <c r="D3537" s="1" t="str">
        <f>IFERROR(__xludf.DUMMYFUNCTION("""COMPUTED_VALUE"""),"old_page")</f>
        <v>old_page</v>
      </c>
      <c r="E3537" s="1">
        <f>IFERROR(__xludf.DUMMYFUNCTION("""COMPUTED_VALUE"""),0.0)</f>
        <v>0</v>
      </c>
    </row>
    <row r="3538">
      <c r="A3538" s="1">
        <f>IFERROR(__xludf.DUMMYFUNCTION("""COMPUTED_VALUE"""),821966.0)</f>
        <v>821966</v>
      </c>
      <c r="B3538" s="2">
        <f>IFERROR(__xludf.DUMMYFUNCTION("""COMPUTED_VALUE"""),42738.191140655465)</f>
        <v>42738.19114</v>
      </c>
      <c r="C3538" s="1" t="str">
        <f>IFERROR(__xludf.DUMMYFUNCTION("""COMPUTED_VALUE"""),"treatment")</f>
        <v>treatment</v>
      </c>
      <c r="D3538" s="1" t="str">
        <f>IFERROR(__xludf.DUMMYFUNCTION("""COMPUTED_VALUE"""),"new_page")</f>
        <v>new_page</v>
      </c>
      <c r="E3538" s="1">
        <f>IFERROR(__xludf.DUMMYFUNCTION("""COMPUTED_VALUE"""),0.0)</f>
        <v>0</v>
      </c>
    </row>
    <row r="3539">
      <c r="A3539" s="1">
        <f>IFERROR(__xludf.DUMMYFUNCTION("""COMPUTED_VALUE"""),859533.0)</f>
        <v>859533</v>
      </c>
      <c r="B3539" s="2">
        <f>IFERROR(__xludf.DUMMYFUNCTION("""COMPUTED_VALUE"""),42757.66371925617)</f>
        <v>42757.66372</v>
      </c>
      <c r="C3539" s="1" t="str">
        <f>IFERROR(__xludf.DUMMYFUNCTION("""COMPUTED_VALUE"""),"treatment")</f>
        <v>treatment</v>
      </c>
      <c r="D3539" s="1" t="str">
        <f>IFERROR(__xludf.DUMMYFUNCTION("""COMPUTED_VALUE"""),"new_page")</f>
        <v>new_page</v>
      </c>
      <c r="E3539" s="1">
        <f>IFERROR(__xludf.DUMMYFUNCTION("""COMPUTED_VALUE"""),1.0)</f>
        <v>1</v>
      </c>
    </row>
    <row r="3540">
      <c r="A3540" s="1">
        <f>IFERROR(__xludf.DUMMYFUNCTION("""COMPUTED_VALUE"""),914410.0)</f>
        <v>914410</v>
      </c>
      <c r="B3540" s="2">
        <f>IFERROR(__xludf.DUMMYFUNCTION("""COMPUTED_VALUE"""),42740.23699496632)</f>
        <v>42740.23699</v>
      </c>
      <c r="C3540" s="1" t="str">
        <f>IFERROR(__xludf.DUMMYFUNCTION("""COMPUTED_VALUE"""),"treatment")</f>
        <v>treatment</v>
      </c>
      <c r="D3540" s="1" t="str">
        <f>IFERROR(__xludf.DUMMYFUNCTION("""COMPUTED_VALUE"""),"new_page")</f>
        <v>new_page</v>
      </c>
      <c r="E3540" s="1">
        <f>IFERROR(__xludf.DUMMYFUNCTION("""COMPUTED_VALUE"""),0.0)</f>
        <v>0</v>
      </c>
    </row>
    <row r="3541">
      <c r="A3541" s="1">
        <f>IFERROR(__xludf.DUMMYFUNCTION("""COMPUTED_VALUE"""),670118.0)</f>
        <v>670118</v>
      </c>
      <c r="B3541" s="2">
        <f>IFERROR(__xludf.DUMMYFUNCTION("""COMPUTED_VALUE"""),42757.827755710234)</f>
        <v>42757.82776</v>
      </c>
      <c r="C3541" s="1" t="str">
        <f>IFERROR(__xludf.DUMMYFUNCTION("""COMPUTED_VALUE"""),"control")</f>
        <v>control</v>
      </c>
      <c r="D3541" s="1" t="str">
        <f>IFERROR(__xludf.DUMMYFUNCTION("""COMPUTED_VALUE"""),"old_page")</f>
        <v>old_page</v>
      </c>
      <c r="E3541" s="1">
        <f>IFERROR(__xludf.DUMMYFUNCTION("""COMPUTED_VALUE"""),0.0)</f>
        <v>0</v>
      </c>
    </row>
    <row r="3542">
      <c r="A3542" s="1">
        <f>IFERROR(__xludf.DUMMYFUNCTION("""COMPUTED_VALUE"""),717061.0)</f>
        <v>717061</v>
      </c>
      <c r="B3542" s="2">
        <f>IFERROR(__xludf.DUMMYFUNCTION("""COMPUTED_VALUE"""),42747.668333722824)</f>
        <v>42747.66833</v>
      </c>
      <c r="C3542" s="1" t="str">
        <f>IFERROR(__xludf.DUMMYFUNCTION("""COMPUTED_VALUE"""),"control")</f>
        <v>control</v>
      </c>
      <c r="D3542" s="1" t="str">
        <f>IFERROR(__xludf.DUMMYFUNCTION("""COMPUTED_VALUE"""),"old_page")</f>
        <v>old_page</v>
      </c>
      <c r="E3542" s="1">
        <f>IFERROR(__xludf.DUMMYFUNCTION("""COMPUTED_VALUE"""),1.0)</f>
        <v>1</v>
      </c>
    </row>
    <row r="3543">
      <c r="A3543" s="1">
        <f>IFERROR(__xludf.DUMMYFUNCTION("""COMPUTED_VALUE"""),800870.0)</f>
        <v>800870</v>
      </c>
      <c r="B3543" s="2">
        <f>IFERROR(__xludf.DUMMYFUNCTION("""COMPUTED_VALUE"""),42748.3301379169)</f>
        <v>42748.33014</v>
      </c>
      <c r="C3543" s="1" t="str">
        <f>IFERROR(__xludf.DUMMYFUNCTION("""COMPUTED_VALUE"""),"treatment")</f>
        <v>treatment</v>
      </c>
      <c r="D3543" s="1" t="str">
        <f>IFERROR(__xludf.DUMMYFUNCTION("""COMPUTED_VALUE"""),"new_page")</f>
        <v>new_page</v>
      </c>
      <c r="E3543" s="1">
        <f>IFERROR(__xludf.DUMMYFUNCTION("""COMPUTED_VALUE"""),0.0)</f>
        <v>0</v>
      </c>
    </row>
    <row r="3544">
      <c r="A3544" s="1">
        <f>IFERROR(__xludf.DUMMYFUNCTION("""COMPUTED_VALUE"""),941778.0)</f>
        <v>941778</v>
      </c>
      <c r="B3544" s="2">
        <f>IFERROR(__xludf.DUMMYFUNCTION("""COMPUTED_VALUE"""),42745.21362007563)</f>
        <v>42745.21362</v>
      </c>
      <c r="C3544" s="1" t="str">
        <f>IFERROR(__xludf.DUMMYFUNCTION("""COMPUTED_VALUE"""),"treatment")</f>
        <v>treatment</v>
      </c>
      <c r="D3544" s="1" t="str">
        <f>IFERROR(__xludf.DUMMYFUNCTION("""COMPUTED_VALUE"""),"new_page")</f>
        <v>new_page</v>
      </c>
      <c r="E3544" s="1">
        <f>IFERROR(__xludf.DUMMYFUNCTION("""COMPUTED_VALUE"""),0.0)</f>
        <v>0</v>
      </c>
    </row>
    <row r="3545">
      <c r="A3545" s="1">
        <f>IFERROR(__xludf.DUMMYFUNCTION("""COMPUTED_VALUE"""),908287.0)</f>
        <v>908287</v>
      </c>
      <c r="B3545" s="2">
        <f>IFERROR(__xludf.DUMMYFUNCTION("""COMPUTED_VALUE"""),42754.21831068402)</f>
        <v>42754.21831</v>
      </c>
      <c r="C3545" s="1" t="str">
        <f>IFERROR(__xludf.DUMMYFUNCTION("""COMPUTED_VALUE"""),"control")</f>
        <v>control</v>
      </c>
      <c r="D3545" s="1" t="str">
        <f>IFERROR(__xludf.DUMMYFUNCTION("""COMPUTED_VALUE"""),"old_page")</f>
        <v>old_page</v>
      </c>
      <c r="E3545" s="1">
        <f>IFERROR(__xludf.DUMMYFUNCTION("""COMPUTED_VALUE"""),0.0)</f>
        <v>0</v>
      </c>
    </row>
    <row r="3546">
      <c r="A3546" s="1">
        <f>IFERROR(__xludf.DUMMYFUNCTION("""COMPUTED_VALUE"""),682409.0)</f>
        <v>682409</v>
      </c>
      <c r="B3546" s="2">
        <f>IFERROR(__xludf.DUMMYFUNCTION("""COMPUTED_VALUE"""),42753.844045829916)</f>
        <v>42753.84405</v>
      </c>
      <c r="C3546" s="1" t="str">
        <f>IFERROR(__xludf.DUMMYFUNCTION("""COMPUTED_VALUE"""),"treatment")</f>
        <v>treatment</v>
      </c>
      <c r="D3546" s="1" t="str">
        <f>IFERROR(__xludf.DUMMYFUNCTION("""COMPUTED_VALUE"""),"new_page")</f>
        <v>new_page</v>
      </c>
      <c r="E3546" s="1">
        <f>IFERROR(__xludf.DUMMYFUNCTION("""COMPUTED_VALUE"""),0.0)</f>
        <v>0</v>
      </c>
    </row>
    <row r="3547">
      <c r="A3547" s="1">
        <f>IFERROR(__xludf.DUMMYFUNCTION("""COMPUTED_VALUE"""),647934.0)</f>
        <v>647934</v>
      </c>
      <c r="B3547" s="2">
        <f>IFERROR(__xludf.DUMMYFUNCTION("""COMPUTED_VALUE"""),42757.86770642847)</f>
        <v>42757.86771</v>
      </c>
      <c r="C3547" s="1" t="str">
        <f>IFERROR(__xludf.DUMMYFUNCTION("""COMPUTED_VALUE"""),"treatment")</f>
        <v>treatment</v>
      </c>
      <c r="D3547" s="1" t="str">
        <f>IFERROR(__xludf.DUMMYFUNCTION("""COMPUTED_VALUE"""),"new_page")</f>
        <v>new_page</v>
      </c>
      <c r="E3547" s="1">
        <f>IFERROR(__xludf.DUMMYFUNCTION("""COMPUTED_VALUE"""),0.0)</f>
        <v>0</v>
      </c>
    </row>
    <row r="3548">
      <c r="A3548" s="1">
        <f>IFERROR(__xludf.DUMMYFUNCTION("""COMPUTED_VALUE"""),755501.0)</f>
        <v>755501</v>
      </c>
      <c r="B3548" s="2">
        <f>IFERROR(__xludf.DUMMYFUNCTION("""COMPUTED_VALUE"""),42746.01799221893)</f>
        <v>42746.01799</v>
      </c>
      <c r="C3548" s="1" t="str">
        <f>IFERROR(__xludf.DUMMYFUNCTION("""COMPUTED_VALUE"""),"treatment")</f>
        <v>treatment</v>
      </c>
      <c r="D3548" s="1" t="str">
        <f>IFERROR(__xludf.DUMMYFUNCTION("""COMPUTED_VALUE"""),"new_page")</f>
        <v>new_page</v>
      </c>
      <c r="E3548" s="1">
        <f>IFERROR(__xludf.DUMMYFUNCTION("""COMPUTED_VALUE"""),0.0)</f>
        <v>0</v>
      </c>
    </row>
    <row r="3549">
      <c r="A3549" s="1">
        <f>IFERROR(__xludf.DUMMYFUNCTION("""COMPUTED_VALUE"""),884497.0)</f>
        <v>884497</v>
      </c>
      <c r="B3549" s="2">
        <f>IFERROR(__xludf.DUMMYFUNCTION("""COMPUTED_VALUE"""),42755.70066373656)</f>
        <v>42755.70066</v>
      </c>
      <c r="C3549" s="1" t="str">
        <f>IFERROR(__xludf.DUMMYFUNCTION("""COMPUTED_VALUE"""),"control")</f>
        <v>control</v>
      </c>
      <c r="D3549" s="1" t="str">
        <f>IFERROR(__xludf.DUMMYFUNCTION("""COMPUTED_VALUE"""),"old_page")</f>
        <v>old_page</v>
      </c>
      <c r="E3549" s="1">
        <f>IFERROR(__xludf.DUMMYFUNCTION("""COMPUTED_VALUE"""),0.0)</f>
        <v>0</v>
      </c>
    </row>
    <row r="3550">
      <c r="A3550" s="1">
        <f>IFERROR(__xludf.DUMMYFUNCTION("""COMPUTED_VALUE"""),807355.0)</f>
        <v>807355</v>
      </c>
      <c r="B3550" s="2">
        <f>IFERROR(__xludf.DUMMYFUNCTION("""COMPUTED_VALUE"""),42756.46561103076)</f>
        <v>42756.46561</v>
      </c>
      <c r="C3550" s="1" t="str">
        <f>IFERROR(__xludf.DUMMYFUNCTION("""COMPUTED_VALUE"""),"control")</f>
        <v>control</v>
      </c>
      <c r="D3550" s="1" t="str">
        <f>IFERROR(__xludf.DUMMYFUNCTION("""COMPUTED_VALUE"""),"new_page")</f>
        <v>new_page</v>
      </c>
      <c r="E3550" s="1">
        <f>IFERROR(__xludf.DUMMYFUNCTION("""COMPUTED_VALUE"""),0.0)</f>
        <v>0</v>
      </c>
    </row>
    <row r="3551">
      <c r="A3551" s="1">
        <f>IFERROR(__xludf.DUMMYFUNCTION("""COMPUTED_VALUE"""),663816.0)</f>
        <v>663816</v>
      </c>
      <c r="B3551" s="2">
        <f>IFERROR(__xludf.DUMMYFUNCTION("""COMPUTED_VALUE"""),42744.95688556204)</f>
        <v>42744.95689</v>
      </c>
      <c r="C3551" s="1" t="str">
        <f>IFERROR(__xludf.DUMMYFUNCTION("""COMPUTED_VALUE"""),"control")</f>
        <v>control</v>
      </c>
      <c r="D3551" s="1" t="str">
        <f>IFERROR(__xludf.DUMMYFUNCTION("""COMPUTED_VALUE"""),"old_page")</f>
        <v>old_page</v>
      </c>
      <c r="E3551" s="1">
        <f>IFERROR(__xludf.DUMMYFUNCTION("""COMPUTED_VALUE"""),0.0)</f>
        <v>0</v>
      </c>
    </row>
    <row r="3552">
      <c r="A3552" s="1">
        <f>IFERROR(__xludf.DUMMYFUNCTION("""COMPUTED_VALUE"""),817016.0)</f>
        <v>817016</v>
      </c>
      <c r="B3552" s="2">
        <f>IFERROR(__xludf.DUMMYFUNCTION("""COMPUTED_VALUE"""),42758.63351105889)</f>
        <v>42758.63351</v>
      </c>
      <c r="C3552" s="1" t="str">
        <f>IFERROR(__xludf.DUMMYFUNCTION("""COMPUTED_VALUE"""),"treatment")</f>
        <v>treatment</v>
      </c>
      <c r="D3552" s="1" t="str">
        <f>IFERROR(__xludf.DUMMYFUNCTION("""COMPUTED_VALUE"""),"new_page")</f>
        <v>new_page</v>
      </c>
      <c r="E3552" s="1">
        <f>IFERROR(__xludf.DUMMYFUNCTION("""COMPUTED_VALUE"""),0.0)</f>
        <v>0</v>
      </c>
    </row>
    <row r="3553">
      <c r="A3553" s="1">
        <f>IFERROR(__xludf.DUMMYFUNCTION("""COMPUTED_VALUE"""),872338.0)</f>
        <v>872338</v>
      </c>
      <c r="B3553" s="2">
        <f>IFERROR(__xludf.DUMMYFUNCTION("""COMPUTED_VALUE"""),42737.94173570619)</f>
        <v>42737.94174</v>
      </c>
      <c r="C3553" s="1" t="str">
        <f>IFERROR(__xludf.DUMMYFUNCTION("""COMPUTED_VALUE"""),"control")</f>
        <v>control</v>
      </c>
      <c r="D3553" s="1" t="str">
        <f>IFERROR(__xludf.DUMMYFUNCTION("""COMPUTED_VALUE"""),"old_page")</f>
        <v>old_page</v>
      </c>
      <c r="E3553" s="1">
        <f>IFERROR(__xludf.DUMMYFUNCTION("""COMPUTED_VALUE"""),1.0)</f>
        <v>1</v>
      </c>
    </row>
    <row r="3554">
      <c r="A3554" s="1">
        <f>IFERROR(__xludf.DUMMYFUNCTION("""COMPUTED_VALUE"""),641119.0)</f>
        <v>641119</v>
      </c>
      <c r="B3554" s="2">
        <f>IFERROR(__xludf.DUMMYFUNCTION("""COMPUTED_VALUE"""),42740.15991894629)</f>
        <v>42740.15992</v>
      </c>
      <c r="C3554" s="1" t="str">
        <f>IFERROR(__xludf.DUMMYFUNCTION("""COMPUTED_VALUE"""),"control")</f>
        <v>control</v>
      </c>
      <c r="D3554" s="1" t="str">
        <f>IFERROR(__xludf.DUMMYFUNCTION("""COMPUTED_VALUE"""),"old_page")</f>
        <v>old_page</v>
      </c>
      <c r="E3554" s="1">
        <f>IFERROR(__xludf.DUMMYFUNCTION("""COMPUTED_VALUE"""),1.0)</f>
        <v>1</v>
      </c>
    </row>
    <row r="3555">
      <c r="A3555" s="1">
        <f>IFERROR(__xludf.DUMMYFUNCTION("""COMPUTED_VALUE"""),784853.0)</f>
        <v>784853</v>
      </c>
      <c r="B3555" s="2">
        <f>IFERROR(__xludf.DUMMYFUNCTION("""COMPUTED_VALUE"""),42741.5669744044)</f>
        <v>42741.56697</v>
      </c>
      <c r="C3555" s="1" t="str">
        <f>IFERROR(__xludf.DUMMYFUNCTION("""COMPUTED_VALUE"""),"treatment")</f>
        <v>treatment</v>
      </c>
      <c r="D3555" s="1" t="str">
        <f>IFERROR(__xludf.DUMMYFUNCTION("""COMPUTED_VALUE"""),"new_page")</f>
        <v>new_page</v>
      </c>
      <c r="E3555" s="1">
        <f>IFERROR(__xludf.DUMMYFUNCTION("""COMPUTED_VALUE"""),0.0)</f>
        <v>0</v>
      </c>
    </row>
    <row r="3556">
      <c r="A3556" s="1">
        <f>IFERROR(__xludf.DUMMYFUNCTION("""COMPUTED_VALUE"""),880075.0)</f>
        <v>880075</v>
      </c>
      <c r="B3556" s="2">
        <f>IFERROR(__xludf.DUMMYFUNCTION("""COMPUTED_VALUE"""),42751.74569518333)</f>
        <v>42751.7457</v>
      </c>
      <c r="C3556" s="1" t="str">
        <f>IFERROR(__xludf.DUMMYFUNCTION("""COMPUTED_VALUE"""),"treatment")</f>
        <v>treatment</v>
      </c>
      <c r="D3556" s="1" t="str">
        <f>IFERROR(__xludf.DUMMYFUNCTION("""COMPUTED_VALUE"""),"new_page")</f>
        <v>new_page</v>
      </c>
      <c r="E3556" s="1">
        <f>IFERROR(__xludf.DUMMYFUNCTION("""COMPUTED_VALUE"""),0.0)</f>
        <v>0</v>
      </c>
    </row>
    <row r="3557">
      <c r="A3557" s="1">
        <f>IFERROR(__xludf.DUMMYFUNCTION("""COMPUTED_VALUE"""),705756.0)</f>
        <v>705756</v>
      </c>
      <c r="B3557" s="2">
        <f>IFERROR(__xludf.DUMMYFUNCTION("""COMPUTED_VALUE"""),42751.92721907689)</f>
        <v>42751.92722</v>
      </c>
      <c r="C3557" s="1" t="str">
        <f>IFERROR(__xludf.DUMMYFUNCTION("""COMPUTED_VALUE"""),"treatment")</f>
        <v>treatment</v>
      </c>
      <c r="D3557" s="1" t="str">
        <f>IFERROR(__xludf.DUMMYFUNCTION("""COMPUTED_VALUE"""),"new_page")</f>
        <v>new_page</v>
      </c>
      <c r="E3557" s="1">
        <f>IFERROR(__xludf.DUMMYFUNCTION("""COMPUTED_VALUE"""),0.0)</f>
        <v>0</v>
      </c>
    </row>
    <row r="3558">
      <c r="A3558" s="1">
        <f>IFERROR(__xludf.DUMMYFUNCTION("""COMPUTED_VALUE"""),890780.0)</f>
        <v>890780</v>
      </c>
      <c r="B3558" s="2">
        <f>IFERROR(__xludf.DUMMYFUNCTION("""COMPUTED_VALUE"""),42743.9309291101)</f>
        <v>42743.93093</v>
      </c>
      <c r="C3558" s="1" t="str">
        <f>IFERROR(__xludf.DUMMYFUNCTION("""COMPUTED_VALUE"""),"control")</f>
        <v>control</v>
      </c>
      <c r="D3558" s="1" t="str">
        <f>IFERROR(__xludf.DUMMYFUNCTION("""COMPUTED_VALUE"""),"old_page")</f>
        <v>old_page</v>
      </c>
      <c r="E3558" s="1">
        <f>IFERROR(__xludf.DUMMYFUNCTION("""COMPUTED_VALUE"""),0.0)</f>
        <v>0</v>
      </c>
    </row>
    <row r="3559">
      <c r="A3559" s="1">
        <f>IFERROR(__xludf.DUMMYFUNCTION("""COMPUTED_VALUE"""),890129.0)</f>
        <v>890129</v>
      </c>
      <c r="B3559" s="2">
        <f>IFERROR(__xludf.DUMMYFUNCTION("""COMPUTED_VALUE"""),42758.60165372532)</f>
        <v>42758.60165</v>
      </c>
      <c r="C3559" s="1" t="str">
        <f>IFERROR(__xludf.DUMMYFUNCTION("""COMPUTED_VALUE"""),"treatment")</f>
        <v>treatment</v>
      </c>
      <c r="D3559" s="1" t="str">
        <f>IFERROR(__xludf.DUMMYFUNCTION("""COMPUTED_VALUE"""),"new_page")</f>
        <v>new_page</v>
      </c>
      <c r="E3559" s="1">
        <f>IFERROR(__xludf.DUMMYFUNCTION("""COMPUTED_VALUE"""),0.0)</f>
        <v>0</v>
      </c>
    </row>
    <row r="3560">
      <c r="A3560" s="1">
        <f>IFERROR(__xludf.DUMMYFUNCTION("""COMPUTED_VALUE"""),835534.0)</f>
        <v>835534</v>
      </c>
      <c r="B3560" s="2">
        <f>IFERROR(__xludf.DUMMYFUNCTION("""COMPUTED_VALUE"""),42744.29447447196)</f>
        <v>42744.29447</v>
      </c>
      <c r="C3560" s="1" t="str">
        <f>IFERROR(__xludf.DUMMYFUNCTION("""COMPUTED_VALUE"""),"treatment")</f>
        <v>treatment</v>
      </c>
      <c r="D3560" s="1" t="str">
        <f>IFERROR(__xludf.DUMMYFUNCTION("""COMPUTED_VALUE"""),"new_page")</f>
        <v>new_page</v>
      </c>
      <c r="E3560" s="1">
        <f>IFERROR(__xludf.DUMMYFUNCTION("""COMPUTED_VALUE"""),0.0)</f>
        <v>0</v>
      </c>
    </row>
    <row r="3561">
      <c r="A3561" s="1">
        <f>IFERROR(__xludf.DUMMYFUNCTION("""COMPUTED_VALUE"""),674509.0)</f>
        <v>674509</v>
      </c>
      <c r="B3561" s="2">
        <f>IFERROR(__xludf.DUMMYFUNCTION("""COMPUTED_VALUE"""),42739.386372496294)</f>
        <v>42739.38637</v>
      </c>
      <c r="C3561" s="1" t="str">
        <f>IFERROR(__xludf.DUMMYFUNCTION("""COMPUTED_VALUE"""),"treatment")</f>
        <v>treatment</v>
      </c>
      <c r="D3561" s="1" t="str">
        <f>IFERROR(__xludf.DUMMYFUNCTION("""COMPUTED_VALUE"""),"new_page")</f>
        <v>new_page</v>
      </c>
      <c r="E3561" s="1">
        <f>IFERROR(__xludf.DUMMYFUNCTION("""COMPUTED_VALUE"""),0.0)</f>
        <v>0</v>
      </c>
    </row>
    <row r="3562">
      <c r="A3562" s="1">
        <f>IFERROR(__xludf.DUMMYFUNCTION("""COMPUTED_VALUE"""),871916.0)</f>
        <v>871916</v>
      </c>
      <c r="B3562" s="2">
        <f>IFERROR(__xludf.DUMMYFUNCTION("""COMPUTED_VALUE"""),42750.266570485575)</f>
        <v>42750.26657</v>
      </c>
      <c r="C3562" s="1" t="str">
        <f>IFERROR(__xludf.DUMMYFUNCTION("""COMPUTED_VALUE"""),"control")</f>
        <v>control</v>
      </c>
      <c r="D3562" s="1" t="str">
        <f>IFERROR(__xludf.DUMMYFUNCTION("""COMPUTED_VALUE"""),"old_page")</f>
        <v>old_page</v>
      </c>
      <c r="E3562" s="1">
        <f>IFERROR(__xludf.DUMMYFUNCTION("""COMPUTED_VALUE"""),0.0)</f>
        <v>0</v>
      </c>
    </row>
    <row r="3563">
      <c r="A3563" s="1">
        <f>IFERROR(__xludf.DUMMYFUNCTION("""COMPUTED_VALUE"""),924481.0)</f>
        <v>924481</v>
      </c>
      <c r="B3563" s="2">
        <f>IFERROR(__xludf.DUMMYFUNCTION("""COMPUTED_VALUE"""),42758.238739505796)</f>
        <v>42758.23874</v>
      </c>
      <c r="C3563" s="1" t="str">
        <f>IFERROR(__xludf.DUMMYFUNCTION("""COMPUTED_VALUE"""),"treatment")</f>
        <v>treatment</v>
      </c>
      <c r="D3563" s="1" t="str">
        <f>IFERROR(__xludf.DUMMYFUNCTION("""COMPUTED_VALUE"""),"new_page")</f>
        <v>new_page</v>
      </c>
      <c r="E3563" s="1">
        <f>IFERROR(__xludf.DUMMYFUNCTION("""COMPUTED_VALUE"""),0.0)</f>
        <v>0</v>
      </c>
    </row>
    <row r="3564">
      <c r="A3564" s="1">
        <f>IFERROR(__xludf.DUMMYFUNCTION("""COMPUTED_VALUE"""),682233.0)</f>
        <v>682233</v>
      </c>
      <c r="B3564" s="2">
        <f>IFERROR(__xludf.DUMMYFUNCTION("""COMPUTED_VALUE"""),42742.783200232225)</f>
        <v>42742.7832</v>
      </c>
      <c r="C3564" s="1" t="str">
        <f>IFERROR(__xludf.DUMMYFUNCTION("""COMPUTED_VALUE"""),"treatment")</f>
        <v>treatment</v>
      </c>
      <c r="D3564" s="1" t="str">
        <f>IFERROR(__xludf.DUMMYFUNCTION("""COMPUTED_VALUE"""),"new_page")</f>
        <v>new_page</v>
      </c>
      <c r="E3564" s="1">
        <f>IFERROR(__xludf.DUMMYFUNCTION("""COMPUTED_VALUE"""),0.0)</f>
        <v>0</v>
      </c>
    </row>
    <row r="3565">
      <c r="A3565" s="1">
        <f>IFERROR(__xludf.DUMMYFUNCTION("""COMPUTED_VALUE"""),926628.0)</f>
        <v>926628</v>
      </c>
      <c r="B3565" s="2">
        <f>IFERROR(__xludf.DUMMYFUNCTION("""COMPUTED_VALUE"""),42738.24173527758)</f>
        <v>42738.24174</v>
      </c>
      <c r="C3565" s="1" t="str">
        <f>IFERROR(__xludf.DUMMYFUNCTION("""COMPUTED_VALUE"""),"treatment")</f>
        <v>treatment</v>
      </c>
      <c r="D3565" s="1" t="str">
        <f>IFERROR(__xludf.DUMMYFUNCTION("""COMPUTED_VALUE"""),"new_page")</f>
        <v>new_page</v>
      </c>
      <c r="E3565" s="1">
        <f>IFERROR(__xludf.DUMMYFUNCTION("""COMPUTED_VALUE"""),1.0)</f>
        <v>1</v>
      </c>
    </row>
    <row r="3566">
      <c r="A3566" s="1">
        <f>IFERROR(__xludf.DUMMYFUNCTION("""COMPUTED_VALUE"""),867164.0)</f>
        <v>867164</v>
      </c>
      <c r="B3566" s="2">
        <f>IFERROR(__xludf.DUMMYFUNCTION("""COMPUTED_VALUE"""),42754.679216936944)</f>
        <v>42754.67922</v>
      </c>
      <c r="C3566" s="1" t="str">
        <f>IFERROR(__xludf.DUMMYFUNCTION("""COMPUTED_VALUE"""),"control")</f>
        <v>control</v>
      </c>
      <c r="D3566" s="1" t="str">
        <f>IFERROR(__xludf.DUMMYFUNCTION("""COMPUTED_VALUE"""),"old_page")</f>
        <v>old_page</v>
      </c>
      <c r="E3566" s="1">
        <f>IFERROR(__xludf.DUMMYFUNCTION("""COMPUTED_VALUE"""),0.0)</f>
        <v>0</v>
      </c>
    </row>
    <row r="3567">
      <c r="A3567" s="1">
        <f>IFERROR(__xludf.DUMMYFUNCTION("""COMPUTED_VALUE"""),777446.0)</f>
        <v>777446</v>
      </c>
      <c r="B3567" s="2">
        <f>IFERROR(__xludf.DUMMYFUNCTION("""COMPUTED_VALUE"""),42750.62166305636)</f>
        <v>42750.62166</v>
      </c>
      <c r="C3567" s="1" t="str">
        <f>IFERROR(__xludf.DUMMYFUNCTION("""COMPUTED_VALUE"""),"treatment")</f>
        <v>treatment</v>
      </c>
      <c r="D3567" s="1" t="str">
        <f>IFERROR(__xludf.DUMMYFUNCTION("""COMPUTED_VALUE"""),"new_page")</f>
        <v>new_page</v>
      </c>
      <c r="E3567" s="1">
        <f>IFERROR(__xludf.DUMMYFUNCTION("""COMPUTED_VALUE"""),1.0)</f>
        <v>1</v>
      </c>
    </row>
    <row r="3568">
      <c r="A3568" s="1">
        <f>IFERROR(__xludf.DUMMYFUNCTION("""COMPUTED_VALUE"""),792824.0)</f>
        <v>792824</v>
      </c>
      <c r="B3568" s="2">
        <f>IFERROR(__xludf.DUMMYFUNCTION("""COMPUTED_VALUE"""),42742.26300632046)</f>
        <v>42742.26301</v>
      </c>
      <c r="C3568" s="1" t="str">
        <f>IFERROR(__xludf.DUMMYFUNCTION("""COMPUTED_VALUE"""),"treatment")</f>
        <v>treatment</v>
      </c>
      <c r="D3568" s="1" t="str">
        <f>IFERROR(__xludf.DUMMYFUNCTION("""COMPUTED_VALUE"""),"new_page")</f>
        <v>new_page</v>
      </c>
      <c r="E3568" s="1">
        <f>IFERROR(__xludf.DUMMYFUNCTION("""COMPUTED_VALUE"""),0.0)</f>
        <v>0</v>
      </c>
    </row>
    <row r="3569">
      <c r="A3569" s="1">
        <f>IFERROR(__xludf.DUMMYFUNCTION("""COMPUTED_VALUE"""),920964.0)</f>
        <v>920964</v>
      </c>
      <c r="B3569" s="2">
        <f>IFERROR(__xludf.DUMMYFUNCTION("""COMPUTED_VALUE"""),42747.39200951882)</f>
        <v>42747.39201</v>
      </c>
      <c r="C3569" s="1" t="str">
        <f>IFERROR(__xludf.DUMMYFUNCTION("""COMPUTED_VALUE"""),"treatment")</f>
        <v>treatment</v>
      </c>
      <c r="D3569" s="1" t="str">
        <f>IFERROR(__xludf.DUMMYFUNCTION("""COMPUTED_VALUE"""),"new_page")</f>
        <v>new_page</v>
      </c>
      <c r="E3569" s="1">
        <f>IFERROR(__xludf.DUMMYFUNCTION("""COMPUTED_VALUE"""),0.0)</f>
        <v>0</v>
      </c>
    </row>
    <row r="3570">
      <c r="A3570" s="1">
        <f>IFERROR(__xludf.DUMMYFUNCTION("""COMPUTED_VALUE"""),883536.0)</f>
        <v>883536</v>
      </c>
      <c r="B3570" s="2">
        <f>IFERROR(__xludf.DUMMYFUNCTION("""COMPUTED_VALUE"""),42746.651571353286)</f>
        <v>42746.65157</v>
      </c>
      <c r="C3570" s="1" t="str">
        <f>IFERROR(__xludf.DUMMYFUNCTION("""COMPUTED_VALUE"""),"treatment")</f>
        <v>treatment</v>
      </c>
      <c r="D3570" s="1" t="str">
        <f>IFERROR(__xludf.DUMMYFUNCTION("""COMPUTED_VALUE"""),"new_page")</f>
        <v>new_page</v>
      </c>
      <c r="E3570" s="1">
        <f>IFERROR(__xludf.DUMMYFUNCTION("""COMPUTED_VALUE"""),0.0)</f>
        <v>0</v>
      </c>
    </row>
    <row r="3571">
      <c r="A3571" s="1">
        <f>IFERROR(__xludf.DUMMYFUNCTION("""COMPUTED_VALUE"""),944269.0)</f>
        <v>944269</v>
      </c>
      <c r="B3571" s="2">
        <f>IFERROR(__xludf.DUMMYFUNCTION("""COMPUTED_VALUE"""),42738.79188661943)</f>
        <v>42738.79189</v>
      </c>
      <c r="C3571" s="1" t="str">
        <f>IFERROR(__xludf.DUMMYFUNCTION("""COMPUTED_VALUE"""),"treatment")</f>
        <v>treatment</v>
      </c>
      <c r="D3571" s="1" t="str">
        <f>IFERROR(__xludf.DUMMYFUNCTION("""COMPUTED_VALUE"""),"new_page")</f>
        <v>new_page</v>
      </c>
      <c r="E3571" s="1">
        <f>IFERROR(__xludf.DUMMYFUNCTION("""COMPUTED_VALUE"""),0.0)</f>
        <v>0</v>
      </c>
    </row>
    <row r="3572">
      <c r="A3572" s="1">
        <f>IFERROR(__xludf.DUMMYFUNCTION("""COMPUTED_VALUE"""),738503.0)</f>
        <v>738503</v>
      </c>
      <c r="B3572" s="2">
        <f>IFERROR(__xludf.DUMMYFUNCTION("""COMPUTED_VALUE"""),42753.07654108696)</f>
        <v>42753.07654</v>
      </c>
      <c r="C3572" s="1" t="str">
        <f>IFERROR(__xludf.DUMMYFUNCTION("""COMPUTED_VALUE"""),"control")</f>
        <v>control</v>
      </c>
      <c r="D3572" s="1" t="str">
        <f>IFERROR(__xludf.DUMMYFUNCTION("""COMPUTED_VALUE"""),"old_page")</f>
        <v>old_page</v>
      </c>
      <c r="E3572" s="1">
        <f>IFERROR(__xludf.DUMMYFUNCTION("""COMPUTED_VALUE"""),0.0)</f>
        <v>0</v>
      </c>
    </row>
    <row r="3573">
      <c r="A3573" s="1">
        <f>IFERROR(__xludf.DUMMYFUNCTION("""COMPUTED_VALUE"""),885311.0)</f>
        <v>885311</v>
      </c>
      <c r="B3573" s="2">
        <f>IFERROR(__xludf.DUMMYFUNCTION("""COMPUTED_VALUE"""),42747.25998916532)</f>
        <v>42747.25999</v>
      </c>
      <c r="C3573" s="1" t="str">
        <f>IFERROR(__xludf.DUMMYFUNCTION("""COMPUTED_VALUE"""),"treatment")</f>
        <v>treatment</v>
      </c>
      <c r="D3573" s="1" t="str">
        <f>IFERROR(__xludf.DUMMYFUNCTION("""COMPUTED_VALUE"""),"new_page")</f>
        <v>new_page</v>
      </c>
      <c r="E3573" s="1">
        <f>IFERROR(__xludf.DUMMYFUNCTION("""COMPUTED_VALUE"""),0.0)</f>
        <v>0</v>
      </c>
    </row>
    <row r="3574">
      <c r="A3574" s="1">
        <f>IFERROR(__xludf.DUMMYFUNCTION("""COMPUTED_VALUE"""),741969.0)</f>
        <v>741969</v>
      </c>
      <c r="B3574" s="2">
        <f>IFERROR(__xludf.DUMMYFUNCTION("""COMPUTED_VALUE"""),42750.82794826845)</f>
        <v>42750.82795</v>
      </c>
      <c r="C3574" s="1" t="str">
        <f>IFERROR(__xludf.DUMMYFUNCTION("""COMPUTED_VALUE"""),"treatment")</f>
        <v>treatment</v>
      </c>
      <c r="D3574" s="1" t="str">
        <f>IFERROR(__xludf.DUMMYFUNCTION("""COMPUTED_VALUE"""),"new_page")</f>
        <v>new_page</v>
      </c>
      <c r="E3574" s="1">
        <f>IFERROR(__xludf.DUMMYFUNCTION("""COMPUTED_VALUE"""),0.0)</f>
        <v>0</v>
      </c>
    </row>
    <row r="3575">
      <c r="A3575" s="1">
        <f>IFERROR(__xludf.DUMMYFUNCTION("""COMPUTED_VALUE"""),663228.0)</f>
        <v>663228</v>
      </c>
      <c r="B3575" s="2">
        <f>IFERROR(__xludf.DUMMYFUNCTION("""COMPUTED_VALUE"""),42745.27310295174)</f>
        <v>42745.2731</v>
      </c>
      <c r="C3575" s="1" t="str">
        <f>IFERROR(__xludf.DUMMYFUNCTION("""COMPUTED_VALUE"""),"treatment")</f>
        <v>treatment</v>
      </c>
      <c r="D3575" s="1" t="str">
        <f>IFERROR(__xludf.DUMMYFUNCTION("""COMPUTED_VALUE"""),"new_page")</f>
        <v>new_page</v>
      </c>
      <c r="E3575" s="1">
        <f>IFERROR(__xludf.DUMMYFUNCTION("""COMPUTED_VALUE"""),0.0)</f>
        <v>0</v>
      </c>
    </row>
    <row r="3576">
      <c r="A3576" s="1">
        <f>IFERROR(__xludf.DUMMYFUNCTION("""COMPUTED_VALUE"""),799823.0)</f>
        <v>799823</v>
      </c>
      <c r="B3576" s="2">
        <f>IFERROR(__xludf.DUMMYFUNCTION("""COMPUTED_VALUE"""),42757.84618385249)</f>
        <v>42757.84618</v>
      </c>
      <c r="C3576" s="1" t="str">
        <f>IFERROR(__xludf.DUMMYFUNCTION("""COMPUTED_VALUE"""),"treatment")</f>
        <v>treatment</v>
      </c>
      <c r="D3576" s="1" t="str">
        <f>IFERROR(__xludf.DUMMYFUNCTION("""COMPUTED_VALUE"""),"new_page")</f>
        <v>new_page</v>
      </c>
      <c r="E3576" s="1">
        <f>IFERROR(__xludf.DUMMYFUNCTION("""COMPUTED_VALUE"""),0.0)</f>
        <v>0</v>
      </c>
    </row>
    <row r="3577">
      <c r="A3577" s="1">
        <f>IFERROR(__xludf.DUMMYFUNCTION("""COMPUTED_VALUE"""),895513.0)</f>
        <v>895513</v>
      </c>
      <c r="B3577" s="2">
        <f>IFERROR(__xludf.DUMMYFUNCTION("""COMPUTED_VALUE"""),42746.886244009314)</f>
        <v>42746.88624</v>
      </c>
      <c r="C3577" s="1" t="str">
        <f>IFERROR(__xludf.DUMMYFUNCTION("""COMPUTED_VALUE"""),"treatment")</f>
        <v>treatment</v>
      </c>
      <c r="D3577" s="1" t="str">
        <f>IFERROR(__xludf.DUMMYFUNCTION("""COMPUTED_VALUE"""),"new_page")</f>
        <v>new_page</v>
      </c>
      <c r="E3577" s="1">
        <f>IFERROR(__xludf.DUMMYFUNCTION("""COMPUTED_VALUE"""),0.0)</f>
        <v>0</v>
      </c>
    </row>
    <row r="3578">
      <c r="A3578" s="1">
        <f>IFERROR(__xludf.DUMMYFUNCTION("""COMPUTED_VALUE"""),873558.0)</f>
        <v>873558</v>
      </c>
      <c r="B3578" s="2">
        <f>IFERROR(__xludf.DUMMYFUNCTION("""COMPUTED_VALUE"""),42746.82974197016)</f>
        <v>42746.82974</v>
      </c>
      <c r="C3578" s="1" t="str">
        <f>IFERROR(__xludf.DUMMYFUNCTION("""COMPUTED_VALUE"""),"treatment")</f>
        <v>treatment</v>
      </c>
      <c r="D3578" s="1" t="str">
        <f>IFERROR(__xludf.DUMMYFUNCTION("""COMPUTED_VALUE"""),"new_page")</f>
        <v>new_page</v>
      </c>
      <c r="E3578" s="1">
        <f>IFERROR(__xludf.DUMMYFUNCTION("""COMPUTED_VALUE"""),0.0)</f>
        <v>0</v>
      </c>
    </row>
    <row r="3579">
      <c r="A3579" s="1">
        <f>IFERROR(__xludf.DUMMYFUNCTION("""COMPUTED_VALUE"""),671833.0)</f>
        <v>671833</v>
      </c>
      <c r="B3579" s="2">
        <f>IFERROR(__xludf.DUMMYFUNCTION("""COMPUTED_VALUE"""),42743.844755785336)</f>
        <v>42743.84476</v>
      </c>
      <c r="C3579" s="1" t="str">
        <f>IFERROR(__xludf.DUMMYFUNCTION("""COMPUTED_VALUE"""),"treatment")</f>
        <v>treatment</v>
      </c>
      <c r="D3579" s="1" t="str">
        <f>IFERROR(__xludf.DUMMYFUNCTION("""COMPUTED_VALUE"""),"new_page")</f>
        <v>new_page</v>
      </c>
      <c r="E3579" s="1">
        <f>IFERROR(__xludf.DUMMYFUNCTION("""COMPUTED_VALUE"""),0.0)</f>
        <v>0</v>
      </c>
    </row>
    <row r="3580">
      <c r="A3580" s="1">
        <f>IFERROR(__xludf.DUMMYFUNCTION("""COMPUTED_VALUE"""),714176.0)</f>
        <v>714176</v>
      </c>
      <c r="B3580" s="2">
        <f>IFERROR(__xludf.DUMMYFUNCTION("""COMPUTED_VALUE"""),42743.81595034982)</f>
        <v>42743.81595</v>
      </c>
      <c r="C3580" s="1" t="str">
        <f>IFERROR(__xludf.DUMMYFUNCTION("""COMPUTED_VALUE"""),"treatment")</f>
        <v>treatment</v>
      </c>
      <c r="D3580" s="1" t="str">
        <f>IFERROR(__xludf.DUMMYFUNCTION("""COMPUTED_VALUE"""),"new_page")</f>
        <v>new_page</v>
      </c>
      <c r="E3580" s="1">
        <f>IFERROR(__xludf.DUMMYFUNCTION("""COMPUTED_VALUE"""),0.0)</f>
        <v>0</v>
      </c>
    </row>
    <row r="3581">
      <c r="A3581" s="1">
        <f>IFERROR(__xludf.DUMMYFUNCTION("""COMPUTED_VALUE"""),768281.0)</f>
        <v>768281</v>
      </c>
      <c r="B3581" s="2">
        <f>IFERROR(__xludf.DUMMYFUNCTION("""COMPUTED_VALUE"""),42758.8518347558)</f>
        <v>42758.85183</v>
      </c>
      <c r="C3581" s="1" t="str">
        <f>IFERROR(__xludf.DUMMYFUNCTION("""COMPUTED_VALUE"""),"treatment")</f>
        <v>treatment</v>
      </c>
      <c r="D3581" s="1" t="str">
        <f>IFERROR(__xludf.DUMMYFUNCTION("""COMPUTED_VALUE"""),"new_page")</f>
        <v>new_page</v>
      </c>
      <c r="E3581" s="1">
        <f>IFERROR(__xludf.DUMMYFUNCTION("""COMPUTED_VALUE"""),0.0)</f>
        <v>0</v>
      </c>
    </row>
    <row r="3582">
      <c r="A3582" s="1">
        <f>IFERROR(__xludf.DUMMYFUNCTION("""COMPUTED_VALUE"""),919874.0)</f>
        <v>919874</v>
      </c>
      <c r="B3582" s="2">
        <f>IFERROR(__xludf.DUMMYFUNCTION("""COMPUTED_VALUE"""),42744.923163852734)</f>
        <v>42744.92316</v>
      </c>
      <c r="C3582" s="1" t="str">
        <f>IFERROR(__xludf.DUMMYFUNCTION("""COMPUTED_VALUE"""),"treatment")</f>
        <v>treatment</v>
      </c>
      <c r="D3582" s="1" t="str">
        <f>IFERROR(__xludf.DUMMYFUNCTION("""COMPUTED_VALUE"""),"new_page")</f>
        <v>new_page</v>
      </c>
      <c r="E3582" s="1">
        <f>IFERROR(__xludf.DUMMYFUNCTION("""COMPUTED_VALUE"""),0.0)</f>
        <v>0</v>
      </c>
    </row>
    <row r="3583">
      <c r="A3583" s="1">
        <f>IFERROR(__xludf.DUMMYFUNCTION("""COMPUTED_VALUE"""),896362.0)</f>
        <v>896362</v>
      </c>
      <c r="B3583" s="2">
        <f>IFERROR(__xludf.DUMMYFUNCTION("""COMPUTED_VALUE"""),42748.21729421417)</f>
        <v>42748.21729</v>
      </c>
      <c r="C3583" s="1" t="str">
        <f>IFERROR(__xludf.DUMMYFUNCTION("""COMPUTED_VALUE"""),"treatment")</f>
        <v>treatment</v>
      </c>
      <c r="D3583" s="1" t="str">
        <f>IFERROR(__xludf.DUMMYFUNCTION("""COMPUTED_VALUE"""),"new_page")</f>
        <v>new_page</v>
      </c>
      <c r="E3583" s="1">
        <f>IFERROR(__xludf.DUMMYFUNCTION("""COMPUTED_VALUE"""),0.0)</f>
        <v>0</v>
      </c>
    </row>
    <row r="3584">
      <c r="A3584" s="1">
        <f>IFERROR(__xludf.DUMMYFUNCTION("""COMPUTED_VALUE"""),685792.0)</f>
        <v>685792</v>
      </c>
      <c r="B3584" s="2">
        <f>IFERROR(__xludf.DUMMYFUNCTION("""COMPUTED_VALUE"""),42753.39035690403)</f>
        <v>42753.39036</v>
      </c>
      <c r="C3584" s="1" t="str">
        <f>IFERROR(__xludf.DUMMYFUNCTION("""COMPUTED_VALUE"""),"treatment")</f>
        <v>treatment</v>
      </c>
      <c r="D3584" s="1" t="str">
        <f>IFERROR(__xludf.DUMMYFUNCTION("""COMPUTED_VALUE"""),"new_page")</f>
        <v>new_page</v>
      </c>
      <c r="E3584" s="1">
        <f>IFERROR(__xludf.DUMMYFUNCTION("""COMPUTED_VALUE"""),0.0)</f>
        <v>0</v>
      </c>
    </row>
    <row r="3585">
      <c r="A3585" s="1">
        <f>IFERROR(__xludf.DUMMYFUNCTION("""COMPUTED_VALUE"""),636108.0)</f>
        <v>636108</v>
      </c>
      <c r="B3585" s="2">
        <f>IFERROR(__xludf.DUMMYFUNCTION("""COMPUTED_VALUE"""),42755.77103763722)</f>
        <v>42755.77104</v>
      </c>
      <c r="C3585" s="1" t="str">
        <f>IFERROR(__xludf.DUMMYFUNCTION("""COMPUTED_VALUE"""),"treatment")</f>
        <v>treatment</v>
      </c>
      <c r="D3585" s="1" t="str">
        <f>IFERROR(__xludf.DUMMYFUNCTION("""COMPUTED_VALUE"""),"new_page")</f>
        <v>new_page</v>
      </c>
      <c r="E3585" s="1">
        <f>IFERROR(__xludf.DUMMYFUNCTION("""COMPUTED_VALUE"""),1.0)</f>
        <v>1</v>
      </c>
    </row>
    <row r="3586">
      <c r="A3586" s="1">
        <f>IFERROR(__xludf.DUMMYFUNCTION("""COMPUTED_VALUE"""),830832.0)</f>
        <v>830832</v>
      </c>
      <c r="B3586" s="2">
        <f>IFERROR(__xludf.DUMMYFUNCTION("""COMPUTED_VALUE"""),42738.68698865057)</f>
        <v>42738.68699</v>
      </c>
      <c r="C3586" s="1" t="str">
        <f>IFERROR(__xludf.DUMMYFUNCTION("""COMPUTED_VALUE"""),"control")</f>
        <v>control</v>
      </c>
      <c r="D3586" s="1" t="str">
        <f>IFERROR(__xludf.DUMMYFUNCTION("""COMPUTED_VALUE"""),"old_page")</f>
        <v>old_page</v>
      </c>
      <c r="E3586" s="1">
        <f>IFERROR(__xludf.DUMMYFUNCTION("""COMPUTED_VALUE"""),0.0)</f>
        <v>0</v>
      </c>
    </row>
    <row r="3587">
      <c r="A3587" s="1">
        <f>IFERROR(__xludf.DUMMYFUNCTION("""COMPUTED_VALUE"""),910633.0)</f>
        <v>910633</v>
      </c>
      <c r="B3587" s="2">
        <f>IFERROR(__xludf.DUMMYFUNCTION("""COMPUTED_VALUE"""),42747.78500663522)</f>
        <v>42747.78501</v>
      </c>
      <c r="C3587" s="1" t="str">
        <f>IFERROR(__xludf.DUMMYFUNCTION("""COMPUTED_VALUE"""),"treatment")</f>
        <v>treatment</v>
      </c>
      <c r="D3587" s="1" t="str">
        <f>IFERROR(__xludf.DUMMYFUNCTION("""COMPUTED_VALUE"""),"new_page")</f>
        <v>new_page</v>
      </c>
      <c r="E3587" s="1">
        <f>IFERROR(__xludf.DUMMYFUNCTION("""COMPUTED_VALUE"""),0.0)</f>
        <v>0</v>
      </c>
    </row>
    <row r="3588">
      <c r="A3588" s="1">
        <f>IFERROR(__xludf.DUMMYFUNCTION("""COMPUTED_VALUE"""),826496.0)</f>
        <v>826496</v>
      </c>
      <c r="B3588" s="2">
        <f>IFERROR(__xludf.DUMMYFUNCTION("""COMPUTED_VALUE"""),42748.944362444956)</f>
        <v>42748.94436</v>
      </c>
      <c r="C3588" s="1" t="str">
        <f>IFERROR(__xludf.DUMMYFUNCTION("""COMPUTED_VALUE"""),"control")</f>
        <v>control</v>
      </c>
      <c r="D3588" s="1" t="str">
        <f>IFERROR(__xludf.DUMMYFUNCTION("""COMPUTED_VALUE"""),"old_page")</f>
        <v>old_page</v>
      </c>
      <c r="E3588" s="1">
        <f>IFERROR(__xludf.DUMMYFUNCTION("""COMPUTED_VALUE"""),0.0)</f>
        <v>0</v>
      </c>
    </row>
    <row r="3589">
      <c r="A3589" s="1">
        <f>IFERROR(__xludf.DUMMYFUNCTION("""COMPUTED_VALUE"""),924870.0)</f>
        <v>924870</v>
      </c>
      <c r="B3589" s="2">
        <f>IFERROR(__xludf.DUMMYFUNCTION("""COMPUTED_VALUE"""),42742.12604745185)</f>
        <v>42742.12605</v>
      </c>
      <c r="C3589" s="1" t="str">
        <f>IFERROR(__xludf.DUMMYFUNCTION("""COMPUTED_VALUE"""),"treatment")</f>
        <v>treatment</v>
      </c>
      <c r="D3589" s="1" t="str">
        <f>IFERROR(__xludf.DUMMYFUNCTION("""COMPUTED_VALUE"""),"new_page")</f>
        <v>new_page</v>
      </c>
      <c r="E3589" s="1">
        <f>IFERROR(__xludf.DUMMYFUNCTION("""COMPUTED_VALUE"""),0.0)</f>
        <v>0</v>
      </c>
    </row>
    <row r="3590">
      <c r="A3590" s="1">
        <f>IFERROR(__xludf.DUMMYFUNCTION("""COMPUTED_VALUE"""),637982.0)</f>
        <v>637982</v>
      </c>
      <c r="B3590" s="2">
        <f>IFERROR(__xludf.DUMMYFUNCTION("""COMPUTED_VALUE"""),42742.8404968025)</f>
        <v>42742.8405</v>
      </c>
      <c r="C3590" s="1" t="str">
        <f>IFERROR(__xludf.DUMMYFUNCTION("""COMPUTED_VALUE"""),"treatment")</f>
        <v>treatment</v>
      </c>
      <c r="D3590" s="1" t="str">
        <f>IFERROR(__xludf.DUMMYFUNCTION("""COMPUTED_VALUE"""),"new_page")</f>
        <v>new_page</v>
      </c>
      <c r="E3590" s="1">
        <f>IFERROR(__xludf.DUMMYFUNCTION("""COMPUTED_VALUE"""),0.0)</f>
        <v>0</v>
      </c>
    </row>
    <row r="3591">
      <c r="A3591" s="1">
        <f>IFERROR(__xludf.DUMMYFUNCTION("""COMPUTED_VALUE"""),698677.0)</f>
        <v>698677</v>
      </c>
      <c r="B3591" s="2">
        <f>IFERROR(__xludf.DUMMYFUNCTION("""COMPUTED_VALUE"""),42752.527085056005)</f>
        <v>42752.52709</v>
      </c>
      <c r="C3591" s="1" t="str">
        <f>IFERROR(__xludf.DUMMYFUNCTION("""COMPUTED_VALUE"""),"control")</f>
        <v>control</v>
      </c>
      <c r="D3591" s="1" t="str">
        <f>IFERROR(__xludf.DUMMYFUNCTION("""COMPUTED_VALUE"""),"old_page")</f>
        <v>old_page</v>
      </c>
      <c r="E3591" s="1">
        <f>IFERROR(__xludf.DUMMYFUNCTION("""COMPUTED_VALUE"""),0.0)</f>
        <v>0</v>
      </c>
    </row>
    <row r="3592">
      <c r="A3592" s="1">
        <f>IFERROR(__xludf.DUMMYFUNCTION("""COMPUTED_VALUE"""),940719.0)</f>
        <v>940719</v>
      </c>
      <c r="B3592" s="2">
        <f>IFERROR(__xludf.DUMMYFUNCTION("""COMPUTED_VALUE"""),42744.40532167987)</f>
        <v>42744.40532</v>
      </c>
      <c r="C3592" s="1" t="str">
        <f>IFERROR(__xludf.DUMMYFUNCTION("""COMPUTED_VALUE"""),"control")</f>
        <v>control</v>
      </c>
      <c r="D3592" s="1" t="str">
        <f>IFERROR(__xludf.DUMMYFUNCTION("""COMPUTED_VALUE"""),"old_page")</f>
        <v>old_page</v>
      </c>
      <c r="E3592" s="1">
        <f>IFERROR(__xludf.DUMMYFUNCTION("""COMPUTED_VALUE"""),0.0)</f>
        <v>0</v>
      </c>
    </row>
    <row r="3593">
      <c r="A3593" s="1">
        <f>IFERROR(__xludf.DUMMYFUNCTION("""COMPUTED_VALUE"""),854711.0)</f>
        <v>854711</v>
      </c>
      <c r="B3593" s="2">
        <f>IFERROR(__xludf.DUMMYFUNCTION("""COMPUTED_VALUE"""),42744.57499058279)</f>
        <v>42744.57499</v>
      </c>
      <c r="C3593" s="1" t="str">
        <f>IFERROR(__xludf.DUMMYFUNCTION("""COMPUTED_VALUE"""),"treatment")</f>
        <v>treatment</v>
      </c>
      <c r="D3593" s="1" t="str">
        <f>IFERROR(__xludf.DUMMYFUNCTION("""COMPUTED_VALUE"""),"new_page")</f>
        <v>new_page</v>
      </c>
      <c r="E3593" s="1">
        <f>IFERROR(__xludf.DUMMYFUNCTION("""COMPUTED_VALUE"""),0.0)</f>
        <v>0</v>
      </c>
    </row>
    <row r="3594">
      <c r="A3594" s="1">
        <f>IFERROR(__xludf.DUMMYFUNCTION("""COMPUTED_VALUE"""),668376.0)</f>
        <v>668376</v>
      </c>
      <c r="B3594" s="2">
        <f>IFERROR(__xludf.DUMMYFUNCTION("""COMPUTED_VALUE"""),42741.15099014497)</f>
        <v>42741.15099</v>
      </c>
      <c r="C3594" s="1" t="str">
        <f>IFERROR(__xludf.DUMMYFUNCTION("""COMPUTED_VALUE"""),"control")</f>
        <v>control</v>
      </c>
      <c r="D3594" s="1" t="str">
        <f>IFERROR(__xludf.DUMMYFUNCTION("""COMPUTED_VALUE"""),"old_page")</f>
        <v>old_page</v>
      </c>
      <c r="E3594" s="1">
        <f>IFERROR(__xludf.DUMMYFUNCTION("""COMPUTED_VALUE"""),0.0)</f>
        <v>0</v>
      </c>
    </row>
    <row r="3595">
      <c r="A3595" s="1">
        <f>IFERROR(__xludf.DUMMYFUNCTION("""COMPUTED_VALUE"""),735818.0)</f>
        <v>735818</v>
      </c>
      <c r="B3595" s="2">
        <f>IFERROR(__xludf.DUMMYFUNCTION("""COMPUTED_VALUE"""),42751.580271040024)</f>
        <v>42751.58027</v>
      </c>
      <c r="C3595" s="1" t="str">
        <f>IFERROR(__xludf.DUMMYFUNCTION("""COMPUTED_VALUE"""),"control")</f>
        <v>control</v>
      </c>
      <c r="D3595" s="1" t="str">
        <f>IFERROR(__xludf.DUMMYFUNCTION("""COMPUTED_VALUE"""),"old_page")</f>
        <v>old_page</v>
      </c>
      <c r="E3595" s="1">
        <f>IFERROR(__xludf.DUMMYFUNCTION("""COMPUTED_VALUE"""),0.0)</f>
        <v>0</v>
      </c>
    </row>
    <row r="3596">
      <c r="A3596" s="1">
        <f>IFERROR(__xludf.DUMMYFUNCTION("""COMPUTED_VALUE"""),855942.0)</f>
        <v>855942</v>
      </c>
      <c r="B3596" s="2">
        <f>IFERROR(__xludf.DUMMYFUNCTION("""COMPUTED_VALUE"""),42748.0567349305)</f>
        <v>42748.05673</v>
      </c>
      <c r="C3596" s="1" t="str">
        <f>IFERROR(__xludf.DUMMYFUNCTION("""COMPUTED_VALUE"""),"treatment")</f>
        <v>treatment</v>
      </c>
      <c r="D3596" s="1" t="str">
        <f>IFERROR(__xludf.DUMMYFUNCTION("""COMPUTED_VALUE"""),"new_page")</f>
        <v>new_page</v>
      </c>
      <c r="E3596" s="1">
        <f>IFERROR(__xludf.DUMMYFUNCTION("""COMPUTED_VALUE"""),0.0)</f>
        <v>0</v>
      </c>
    </row>
    <row r="3597">
      <c r="A3597" s="1">
        <f>IFERROR(__xludf.DUMMYFUNCTION("""COMPUTED_VALUE"""),773307.0)</f>
        <v>773307</v>
      </c>
      <c r="B3597" s="2">
        <f>IFERROR(__xludf.DUMMYFUNCTION("""COMPUTED_VALUE"""),42756.23105907214)</f>
        <v>42756.23106</v>
      </c>
      <c r="C3597" s="1" t="str">
        <f>IFERROR(__xludf.DUMMYFUNCTION("""COMPUTED_VALUE"""),"control")</f>
        <v>control</v>
      </c>
      <c r="D3597" s="1" t="str">
        <f>IFERROR(__xludf.DUMMYFUNCTION("""COMPUTED_VALUE"""),"old_page")</f>
        <v>old_page</v>
      </c>
      <c r="E3597" s="1">
        <f>IFERROR(__xludf.DUMMYFUNCTION("""COMPUTED_VALUE"""),0.0)</f>
        <v>0</v>
      </c>
    </row>
    <row r="3598">
      <c r="A3598" s="1">
        <f>IFERROR(__xludf.DUMMYFUNCTION("""COMPUTED_VALUE"""),878888.0)</f>
        <v>878888</v>
      </c>
      <c r="B3598" s="2">
        <f>IFERROR(__xludf.DUMMYFUNCTION("""COMPUTED_VALUE"""),42739.78621314546)</f>
        <v>42739.78621</v>
      </c>
      <c r="C3598" s="1" t="str">
        <f>IFERROR(__xludf.DUMMYFUNCTION("""COMPUTED_VALUE"""),"treatment")</f>
        <v>treatment</v>
      </c>
      <c r="D3598" s="1" t="str">
        <f>IFERROR(__xludf.DUMMYFUNCTION("""COMPUTED_VALUE"""),"new_page")</f>
        <v>new_page</v>
      </c>
      <c r="E3598" s="1">
        <f>IFERROR(__xludf.DUMMYFUNCTION("""COMPUTED_VALUE"""),0.0)</f>
        <v>0</v>
      </c>
    </row>
    <row r="3599">
      <c r="A3599" s="1">
        <f>IFERROR(__xludf.DUMMYFUNCTION("""COMPUTED_VALUE"""),880668.0)</f>
        <v>880668</v>
      </c>
      <c r="B3599" s="2">
        <f>IFERROR(__xludf.DUMMYFUNCTION("""COMPUTED_VALUE"""),42744.228974946236)</f>
        <v>42744.22897</v>
      </c>
      <c r="C3599" s="1" t="str">
        <f>IFERROR(__xludf.DUMMYFUNCTION("""COMPUTED_VALUE"""),"control")</f>
        <v>control</v>
      </c>
      <c r="D3599" s="1" t="str">
        <f>IFERROR(__xludf.DUMMYFUNCTION("""COMPUTED_VALUE"""),"old_page")</f>
        <v>old_page</v>
      </c>
      <c r="E3599" s="1">
        <f>IFERROR(__xludf.DUMMYFUNCTION("""COMPUTED_VALUE"""),0.0)</f>
        <v>0</v>
      </c>
    </row>
    <row r="3600">
      <c r="A3600" s="1">
        <f>IFERROR(__xludf.DUMMYFUNCTION("""COMPUTED_VALUE"""),888055.0)</f>
        <v>888055</v>
      </c>
      <c r="B3600" s="2">
        <f>IFERROR(__xludf.DUMMYFUNCTION("""COMPUTED_VALUE"""),42752.78047231807)</f>
        <v>42752.78047</v>
      </c>
      <c r="C3600" s="1" t="str">
        <f>IFERROR(__xludf.DUMMYFUNCTION("""COMPUTED_VALUE"""),"control")</f>
        <v>control</v>
      </c>
      <c r="D3600" s="1" t="str">
        <f>IFERROR(__xludf.DUMMYFUNCTION("""COMPUTED_VALUE"""),"old_page")</f>
        <v>old_page</v>
      </c>
      <c r="E3600" s="1">
        <f>IFERROR(__xludf.DUMMYFUNCTION("""COMPUTED_VALUE"""),0.0)</f>
        <v>0</v>
      </c>
    </row>
    <row r="3601">
      <c r="A3601" s="1">
        <f>IFERROR(__xludf.DUMMYFUNCTION("""COMPUTED_VALUE"""),781159.0)</f>
        <v>781159</v>
      </c>
      <c r="B3601" s="2">
        <f>IFERROR(__xludf.DUMMYFUNCTION("""COMPUTED_VALUE"""),42747.28469132969)</f>
        <v>42747.28469</v>
      </c>
      <c r="C3601" s="1" t="str">
        <f>IFERROR(__xludf.DUMMYFUNCTION("""COMPUTED_VALUE"""),"control")</f>
        <v>control</v>
      </c>
      <c r="D3601" s="1" t="str">
        <f>IFERROR(__xludf.DUMMYFUNCTION("""COMPUTED_VALUE"""),"old_page")</f>
        <v>old_page</v>
      </c>
      <c r="E3601" s="1">
        <f>IFERROR(__xludf.DUMMYFUNCTION("""COMPUTED_VALUE"""),0.0)</f>
        <v>0</v>
      </c>
    </row>
    <row r="3602">
      <c r="A3602" s="1">
        <f>IFERROR(__xludf.DUMMYFUNCTION("""COMPUTED_VALUE"""),697736.0)</f>
        <v>697736</v>
      </c>
      <c r="B3602" s="2">
        <f>IFERROR(__xludf.DUMMYFUNCTION("""COMPUTED_VALUE"""),42749.542448354165)</f>
        <v>42749.54245</v>
      </c>
      <c r="C3602" s="1" t="str">
        <f>IFERROR(__xludf.DUMMYFUNCTION("""COMPUTED_VALUE"""),"control")</f>
        <v>control</v>
      </c>
      <c r="D3602" s="1" t="str">
        <f>IFERROR(__xludf.DUMMYFUNCTION("""COMPUTED_VALUE"""),"old_page")</f>
        <v>old_page</v>
      </c>
      <c r="E3602" s="1">
        <f>IFERROR(__xludf.DUMMYFUNCTION("""COMPUTED_VALUE"""),0.0)</f>
        <v>0</v>
      </c>
    </row>
    <row r="3603">
      <c r="A3603" s="1">
        <f>IFERROR(__xludf.DUMMYFUNCTION("""COMPUTED_VALUE"""),760725.0)</f>
        <v>760725</v>
      </c>
      <c r="B3603" s="2">
        <f>IFERROR(__xludf.DUMMYFUNCTION("""COMPUTED_VALUE"""),42743.46193051443)</f>
        <v>42743.46193</v>
      </c>
      <c r="C3603" s="1" t="str">
        <f>IFERROR(__xludf.DUMMYFUNCTION("""COMPUTED_VALUE"""),"treatment")</f>
        <v>treatment</v>
      </c>
      <c r="D3603" s="1" t="str">
        <f>IFERROR(__xludf.DUMMYFUNCTION("""COMPUTED_VALUE"""),"new_page")</f>
        <v>new_page</v>
      </c>
      <c r="E3603" s="1">
        <f>IFERROR(__xludf.DUMMYFUNCTION("""COMPUTED_VALUE"""),0.0)</f>
        <v>0</v>
      </c>
    </row>
    <row r="3604">
      <c r="A3604" s="1">
        <f>IFERROR(__xludf.DUMMYFUNCTION("""COMPUTED_VALUE"""),703723.0)</f>
        <v>703723</v>
      </c>
      <c r="B3604" s="2">
        <f>IFERROR(__xludf.DUMMYFUNCTION("""COMPUTED_VALUE"""),42748.550313261134)</f>
        <v>42748.55031</v>
      </c>
      <c r="C3604" s="1" t="str">
        <f>IFERROR(__xludf.DUMMYFUNCTION("""COMPUTED_VALUE"""),"control")</f>
        <v>control</v>
      </c>
      <c r="D3604" s="1" t="str">
        <f>IFERROR(__xludf.DUMMYFUNCTION("""COMPUTED_VALUE"""),"old_page")</f>
        <v>old_page</v>
      </c>
      <c r="E3604" s="1">
        <f>IFERROR(__xludf.DUMMYFUNCTION("""COMPUTED_VALUE"""),0.0)</f>
        <v>0</v>
      </c>
    </row>
    <row r="3605">
      <c r="A3605" s="1">
        <f>IFERROR(__xludf.DUMMYFUNCTION("""COMPUTED_VALUE"""),648721.0)</f>
        <v>648721</v>
      </c>
      <c r="B3605" s="2">
        <f>IFERROR(__xludf.DUMMYFUNCTION("""COMPUTED_VALUE"""),42749.76365878627)</f>
        <v>42749.76366</v>
      </c>
      <c r="C3605" s="1" t="str">
        <f>IFERROR(__xludf.DUMMYFUNCTION("""COMPUTED_VALUE"""),"control")</f>
        <v>control</v>
      </c>
      <c r="D3605" s="1" t="str">
        <f>IFERROR(__xludf.DUMMYFUNCTION("""COMPUTED_VALUE"""),"old_page")</f>
        <v>old_page</v>
      </c>
      <c r="E3605" s="1">
        <f>IFERROR(__xludf.DUMMYFUNCTION("""COMPUTED_VALUE"""),0.0)</f>
        <v>0</v>
      </c>
    </row>
    <row r="3606">
      <c r="A3606" s="1">
        <f>IFERROR(__xludf.DUMMYFUNCTION("""COMPUTED_VALUE"""),807743.0)</f>
        <v>807743</v>
      </c>
      <c r="B3606" s="2">
        <f>IFERROR(__xludf.DUMMYFUNCTION("""COMPUTED_VALUE"""),42742.21193523872)</f>
        <v>42742.21194</v>
      </c>
      <c r="C3606" s="1" t="str">
        <f>IFERROR(__xludf.DUMMYFUNCTION("""COMPUTED_VALUE"""),"control")</f>
        <v>control</v>
      </c>
      <c r="D3606" s="1" t="str">
        <f>IFERROR(__xludf.DUMMYFUNCTION("""COMPUTED_VALUE"""),"old_page")</f>
        <v>old_page</v>
      </c>
      <c r="E3606" s="1">
        <f>IFERROR(__xludf.DUMMYFUNCTION("""COMPUTED_VALUE"""),0.0)</f>
        <v>0</v>
      </c>
    </row>
    <row r="3607">
      <c r="A3607" s="1">
        <f>IFERROR(__xludf.DUMMYFUNCTION("""COMPUTED_VALUE"""),933872.0)</f>
        <v>933872</v>
      </c>
      <c r="B3607" s="2">
        <f>IFERROR(__xludf.DUMMYFUNCTION("""COMPUTED_VALUE"""),42746.93970296739)</f>
        <v>42746.9397</v>
      </c>
      <c r="C3607" s="1" t="str">
        <f>IFERROR(__xludf.DUMMYFUNCTION("""COMPUTED_VALUE"""),"treatment")</f>
        <v>treatment</v>
      </c>
      <c r="D3607" s="1" t="str">
        <f>IFERROR(__xludf.DUMMYFUNCTION("""COMPUTED_VALUE"""),"new_page")</f>
        <v>new_page</v>
      </c>
      <c r="E3607" s="1">
        <f>IFERROR(__xludf.DUMMYFUNCTION("""COMPUTED_VALUE"""),0.0)</f>
        <v>0</v>
      </c>
    </row>
    <row r="3608">
      <c r="A3608" s="1">
        <f>IFERROR(__xludf.DUMMYFUNCTION("""COMPUTED_VALUE"""),705092.0)</f>
        <v>705092</v>
      </c>
      <c r="B3608" s="2">
        <f>IFERROR(__xludf.DUMMYFUNCTION("""COMPUTED_VALUE"""),42741.59488802627)</f>
        <v>42741.59489</v>
      </c>
      <c r="C3608" s="1" t="str">
        <f>IFERROR(__xludf.DUMMYFUNCTION("""COMPUTED_VALUE"""),"treatment")</f>
        <v>treatment</v>
      </c>
      <c r="D3608" s="1" t="str">
        <f>IFERROR(__xludf.DUMMYFUNCTION("""COMPUTED_VALUE"""),"new_page")</f>
        <v>new_page</v>
      </c>
      <c r="E3608" s="1">
        <f>IFERROR(__xludf.DUMMYFUNCTION("""COMPUTED_VALUE"""),0.0)</f>
        <v>0</v>
      </c>
    </row>
    <row r="3609">
      <c r="A3609" s="1">
        <f>IFERROR(__xludf.DUMMYFUNCTION("""COMPUTED_VALUE"""),908242.0)</f>
        <v>908242</v>
      </c>
      <c r="B3609" s="2">
        <f>IFERROR(__xludf.DUMMYFUNCTION("""COMPUTED_VALUE"""),42755.707569810205)</f>
        <v>42755.70757</v>
      </c>
      <c r="C3609" s="1" t="str">
        <f>IFERROR(__xludf.DUMMYFUNCTION("""COMPUTED_VALUE"""),"control")</f>
        <v>control</v>
      </c>
      <c r="D3609" s="1" t="str">
        <f>IFERROR(__xludf.DUMMYFUNCTION("""COMPUTED_VALUE"""),"old_page")</f>
        <v>old_page</v>
      </c>
      <c r="E3609" s="1">
        <f>IFERROR(__xludf.DUMMYFUNCTION("""COMPUTED_VALUE"""),0.0)</f>
        <v>0</v>
      </c>
    </row>
    <row r="3610">
      <c r="A3610" s="1">
        <f>IFERROR(__xludf.DUMMYFUNCTION("""COMPUTED_VALUE"""),923096.0)</f>
        <v>923096</v>
      </c>
      <c r="B3610" s="2">
        <f>IFERROR(__xludf.DUMMYFUNCTION("""COMPUTED_VALUE"""),42753.35668606068)</f>
        <v>42753.35669</v>
      </c>
      <c r="C3610" s="1" t="str">
        <f>IFERROR(__xludf.DUMMYFUNCTION("""COMPUTED_VALUE"""),"control")</f>
        <v>control</v>
      </c>
      <c r="D3610" s="1" t="str">
        <f>IFERROR(__xludf.DUMMYFUNCTION("""COMPUTED_VALUE"""),"old_page")</f>
        <v>old_page</v>
      </c>
      <c r="E3610" s="1">
        <f>IFERROR(__xludf.DUMMYFUNCTION("""COMPUTED_VALUE"""),0.0)</f>
        <v>0</v>
      </c>
    </row>
    <row r="3611">
      <c r="A3611" s="1">
        <f>IFERROR(__xludf.DUMMYFUNCTION("""COMPUTED_VALUE"""),764678.0)</f>
        <v>764678</v>
      </c>
      <c r="B3611" s="2">
        <f>IFERROR(__xludf.DUMMYFUNCTION("""COMPUTED_VALUE"""),42749.31102326721)</f>
        <v>42749.31102</v>
      </c>
      <c r="C3611" s="1" t="str">
        <f>IFERROR(__xludf.DUMMYFUNCTION("""COMPUTED_VALUE"""),"control")</f>
        <v>control</v>
      </c>
      <c r="D3611" s="1" t="str">
        <f>IFERROR(__xludf.DUMMYFUNCTION("""COMPUTED_VALUE"""),"old_page")</f>
        <v>old_page</v>
      </c>
      <c r="E3611" s="1">
        <f>IFERROR(__xludf.DUMMYFUNCTION("""COMPUTED_VALUE"""),0.0)</f>
        <v>0</v>
      </c>
    </row>
    <row r="3612">
      <c r="A3612" s="1">
        <f>IFERROR(__xludf.DUMMYFUNCTION("""COMPUTED_VALUE"""),824725.0)</f>
        <v>824725</v>
      </c>
      <c r="B3612" s="2">
        <f>IFERROR(__xludf.DUMMYFUNCTION("""COMPUTED_VALUE"""),42742.28259921961)</f>
        <v>42742.2826</v>
      </c>
      <c r="C3612" s="1" t="str">
        <f>IFERROR(__xludf.DUMMYFUNCTION("""COMPUTED_VALUE"""),"treatment")</f>
        <v>treatment</v>
      </c>
      <c r="D3612" s="1" t="str">
        <f>IFERROR(__xludf.DUMMYFUNCTION("""COMPUTED_VALUE"""),"new_page")</f>
        <v>new_page</v>
      </c>
      <c r="E3612" s="1">
        <f>IFERROR(__xludf.DUMMYFUNCTION("""COMPUTED_VALUE"""),0.0)</f>
        <v>0</v>
      </c>
    </row>
    <row r="3613">
      <c r="A3613" s="1">
        <f>IFERROR(__xludf.DUMMYFUNCTION("""COMPUTED_VALUE"""),632957.0)</f>
        <v>632957</v>
      </c>
      <c r="B3613" s="2">
        <f>IFERROR(__xludf.DUMMYFUNCTION("""COMPUTED_VALUE"""),42745.66742626084)</f>
        <v>42745.66743</v>
      </c>
      <c r="C3613" s="1" t="str">
        <f>IFERROR(__xludf.DUMMYFUNCTION("""COMPUTED_VALUE"""),"control")</f>
        <v>control</v>
      </c>
      <c r="D3613" s="1" t="str">
        <f>IFERROR(__xludf.DUMMYFUNCTION("""COMPUTED_VALUE"""),"old_page")</f>
        <v>old_page</v>
      </c>
      <c r="E3613" s="1">
        <f>IFERROR(__xludf.DUMMYFUNCTION("""COMPUTED_VALUE"""),0.0)</f>
        <v>0</v>
      </c>
    </row>
    <row r="3614">
      <c r="A3614" s="1">
        <f>IFERROR(__xludf.DUMMYFUNCTION("""COMPUTED_VALUE"""),645496.0)</f>
        <v>645496</v>
      </c>
      <c r="B3614" s="2">
        <f>IFERROR(__xludf.DUMMYFUNCTION("""COMPUTED_VALUE"""),42755.04658569713)</f>
        <v>42755.04659</v>
      </c>
      <c r="C3614" s="1" t="str">
        <f>IFERROR(__xludf.DUMMYFUNCTION("""COMPUTED_VALUE"""),"treatment")</f>
        <v>treatment</v>
      </c>
      <c r="D3614" s="1" t="str">
        <f>IFERROR(__xludf.DUMMYFUNCTION("""COMPUTED_VALUE"""),"new_page")</f>
        <v>new_page</v>
      </c>
      <c r="E3614" s="1">
        <f>IFERROR(__xludf.DUMMYFUNCTION("""COMPUTED_VALUE"""),0.0)</f>
        <v>0</v>
      </c>
    </row>
    <row r="3615">
      <c r="A3615" s="1">
        <f>IFERROR(__xludf.DUMMYFUNCTION("""COMPUTED_VALUE"""),844049.0)</f>
        <v>844049</v>
      </c>
      <c r="B3615" s="2">
        <f>IFERROR(__xludf.DUMMYFUNCTION("""COMPUTED_VALUE"""),42739.28130358836)</f>
        <v>42739.2813</v>
      </c>
      <c r="C3615" s="1" t="str">
        <f>IFERROR(__xludf.DUMMYFUNCTION("""COMPUTED_VALUE"""),"control")</f>
        <v>control</v>
      </c>
      <c r="D3615" s="1" t="str">
        <f>IFERROR(__xludf.DUMMYFUNCTION("""COMPUTED_VALUE"""),"old_page")</f>
        <v>old_page</v>
      </c>
      <c r="E3615" s="1">
        <f>IFERROR(__xludf.DUMMYFUNCTION("""COMPUTED_VALUE"""),1.0)</f>
        <v>1</v>
      </c>
    </row>
    <row r="3616">
      <c r="A3616" s="1">
        <f>IFERROR(__xludf.DUMMYFUNCTION("""COMPUTED_VALUE"""),819129.0)</f>
        <v>819129</v>
      </c>
      <c r="B3616" s="2">
        <f>IFERROR(__xludf.DUMMYFUNCTION("""COMPUTED_VALUE"""),42745.345099263024)</f>
        <v>42745.3451</v>
      </c>
      <c r="C3616" s="1" t="str">
        <f>IFERROR(__xludf.DUMMYFUNCTION("""COMPUTED_VALUE"""),"treatment")</f>
        <v>treatment</v>
      </c>
      <c r="D3616" s="1" t="str">
        <f>IFERROR(__xludf.DUMMYFUNCTION("""COMPUTED_VALUE"""),"new_page")</f>
        <v>new_page</v>
      </c>
      <c r="E3616" s="1">
        <f>IFERROR(__xludf.DUMMYFUNCTION("""COMPUTED_VALUE"""),1.0)</f>
        <v>1</v>
      </c>
    </row>
    <row r="3617">
      <c r="A3617" s="1">
        <f>IFERROR(__xludf.DUMMYFUNCTION("""COMPUTED_VALUE"""),685374.0)</f>
        <v>685374</v>
      </c>
      <c r="B3617" s="2">
        <f>IFERROR(__xludf.DUMMYFUNCTION("""COMPUTED_VALUE"""),42746.95097067346)</f>
        <v>42746.95097</v>
      </c>
      <c r="C3617" s="1" t="str">
        <f>IFERROR(__xludf.DUMMYFUNCTION("""COMPUTED_VALUE"""),"treatment")</f>
        <v>treatment</v>
      </c>
      <c r="D3617" s="1" t="str">
        <f>IFERROR(__xludf.DUMMYFUNCTION("""COMPUTED_VALUE"""),"new_page")</f>
        <v>new_page</v>
      </c>
      <c r="E3617" s="1">
        <f>IFERROR(__xludf.DUMMYFUNCTION("""COMPUTED_VALUE"""),0.0)</f>
        <v>0</v>
      </c>
    </row>
    <row r="3618">
      <c r="A3618" s="1">
        <f>IFERROR(__xludf.DUMMYFUNCTION("""COMPUTED_VALUE"""),721679.0)</f>
        <v>721679</v>
      </c>
      <c r="B3618" s="2">
        <f>IFERROR(__xludf.DUMMYFUNCTION("""COMPUTED_VALUE"""),42743.0735290687)</f>
        <v>42743.07353</v>
      </c>
      <c r="C3618" s="1" t="str">
        <f>IFERROR(__xludf.DUMMYFUNCTION("""COMPUTED_VALUE"""),"control")</f>
        <v>control</v>
      </c>
      <c r="D3618" s="1" t="str">
        <f>IFERROR(__xludf.DUMMYFUNCTION("""COMPUTED_VALUE"""),"old_page")</f>
        <v>old_page</v>
      </c>
      <c r="E3618" s="1">
        <f>IFERROR(__xludf.DUMMYFUNCTION("""COMPUTED_VALUE"""),0.0)</f>
        <v>0</v>
      </c>
    </row>
    <row r="3619">
      <c r="A3619" s="1">
        <f>IFERROR(__xludf.DUMMYFUNCTION("""COMPUTED_VALUE"""),855022.0)</f>
        <v>855022</v>
      </c>
      <c r="B3619" s="2">
        <f>IFERROR(__xludf.DUMMYFUNCTION("""COMPUTED_VALUE"""),42738.96746653369)</f>
        <v>42738.96747</v>
      </c>
      <c r="C3619" s="1" t="str">
        <f>IFERROR(__xludf.DUMMYFUNCTION("""COMPUTED_VALUE"""),"control")</f>
        <v>control</v>
      </c>
      <c r="D3619" s="1" t="str">
        <f>IFERROR(__xludf.DUMMYFUNCTION("""COMPUTED_VALUE"""),"old_page")</f>
        <v>old_page</v>
      </c>
      <c r="E3619" s="1">
        <f>IFERROR(__xludf.DUMMYFUNCTION("""COMPUTED_VALUE"""),0.0)</f>
        <v>0</v>
      </c>
    </row>
    <row r="3620">
      <c r="A3620" s="1">
        <f>IFERROR(__xludf.DUMMYFUNCTION("""COMPUTED_VALUE"""),896628.0)</f>
        <v>896628</v>
      </c>
      <c r="B3620" s="2">
        <f>IFERROR(__xludf.DUMMYFUNCTION("""COMPUTED_VALUE"""),42751.66526698682)</f>
        <v>42751.66527</v>
      </c>
      <c r="C3620" s="1" t="str">
        <f>IFERROR(__xludf.DUMMYFUNCTION("""COMPUTED_VALUE"""),"treatment")</f>
        <v>treatment</v>
      </c>
      <c r="D3620" s="1" t="str">
        <f>IFERROR(__xludf.DUMMYFUNCTION("""COMPUTED_VALUE"""),"new_page")</f>
        <v>new_page</v>
      </c>
      <c r="E3620" s="1">
        <f>IFERROR(__xludf.DUMMYFUNCTION("""COMPUTED_VALUE"""),0.0)</f>
        <v>0</v>
      </c>
    </row>
    <row r="3621">
      <c r="A3621" s="1">
        <f>IFERROR(__xludf.DUMMYFUNCTION("""COMPUTED_VALUE"""),872712.0)</f>
        <v>872712</v>
      </c>
      <c r="B3621" s="2">
        <f>IFERROR(__xludf.DUMMYFUNCTION("""COMPUTED_VALUE"""),42756.62454259454)</f>
        <v>42756.62454</v>
      </c>
      <c r="C3621" s="1" t="str">
        <f>IFERROR(__xludf.DUMMYFUNCTION("""COMPUTED_VALUE"""),"treatment")</f>
        <v>treatment</v>
      </c>
      <c r="D3621" s="1" t="str">
        <f>IFERROR(__xludf.DUMMYFUNCTION("""COMPUTED_VALUE"""),"new_page")</f>
        <v>new_page</v>
      </c>
      <c r="E3621" s="1">
        <f>IFERROR(__xludf.DUMMYFUNCTION("""COMPUTED_VALUE"""),0.0)</f>
        <v>0</v>
      </c>
    </row>
    <row r="3622">
      <c r="A3622" s="1">
        <f>IFERROR(__xludf.DUMMYFUNCTION("""COMPUTED_VALUE"""),738934.0)</f>
        <v>738934</v>
      </c>
      <c r="B3622" s="2">
        <f>IFERROR(__xludf.DUMMYFUNCTION("""COMPUTED_VALUE"""),42751.32688182823)</f>
        <v>42751.32688</v>
      </c>
      <c r="C3622" s="1" t="str">
        <f>IFERROR(__xludf.DUMMYFUNCTION("""COMPUTED_VALUE"""),"treatment")</f>
        <v>treatment</v>
      </c>
      <c r="D3622" s="1" t="str">
        <f>IFERROR(__xludf.DUMMYFUNCTION("""COMPUTED_VALUE"""),"new_page")</f>
        <v>new_page</v>
      </c>
      <c r="E3622" s="1">
        <f>IFERROR(__xludf.DUMMYFUNCTION("""COMPUTED_VALUE"""),0.0)</f>
        <v>0</v>
      </c>
    </row>
    <row r="3623">
      <c r="A3623" s="1">
        <f>IFERROR(__xludf.DUMMYFUNCTION("""COMPUTED_VALUE"""),930132.0)</f>
        <v>930132</v>
      </c>
      <c r="B3623" s="2">
        <f>IFERROR(__xludf.DUMMYFUNCTION("""COMPUTED_VALUE"""),42747.35168050353)</f>
        <v>42747.35168</v>
      </c>
      <c r="C3623" s="1" t="str">
        <f>IFERROR(__xludf.DUMMYFUNCTION("""COMPUTED_VALUE"""),"treatment")</f>
        <v>treatment</v>
      </c>
      <c r="D3623" s="1" t="str">
        <f>IFERROR(__xludf.DUMMYFUNCTION("""COMPUTED_VALUE"""),"new_page")</f>
        <v>new_page</v>
      </c>
      <c r="E3623" s="1">
        <f>IFERROR(__xludf.DUMMYFUNCTION("""COMPUTED_VALUE"""),1.0)</f>
        <v>1</v>
      </c>
    </row>
    <row r="3624">
      <c r="A3624" s="1">
        <f>IFERROR(__xludf.DUMMYFUNCTION("""COMPUTED_VALUE"""),809059.0)</f>
        <v>809059</v>
      </c>
      <c r="B3624" s="2">
        <f>IFERROR(__xludf.DUMMYFUNCTION("""COMPUTED_VALUE"""),42746.952160152316)</f>
        <v>42746.95216</v>
      </c>
      <c r="C3624" s="1" t="str">
        <f>IFERROR(__xludf.DUMMYFUNCTION("""COMPUTED_VALUE"""),"control")</f>
        <v>control</v>
      </c>
      <c r="D3624" s="1" t="str">
        <f>IFERROR(__xludf.DUMMYFUNCTION("""COMPUTED_VALUE"""),"old_page")</f>
        <v>old_page</v>
      </c>
      <c r="E3624" s="1">
        <f>IFERROR(__xludf.DUMMYFUNCTION("""COMPUTED_VALUE"""),1.0)</f>
        <v>1</v>
      </c>
    </row>
    <row r="3625">
      <c r="A3625" s="1">
        <f>IFERROR(__xludf.DUMMYFUNCTION("""COMPUTED_VALUE"""),774856.0)</f>
        <v>774856</v>
      </c>
      <c r="B3625" s="2">
        <f>IFERROR(__xludf.DUMMYFUNCTION("""COMPUTED_VALUE"""),42741.8696351979)</f>
        <v>42741.86964</v>
      </c>
      <c r="C3625" s="1" t="str">
        <f>IFERROR(__xludf.DUMMYFUNCTION("""COMPUTED_VALUE"""),"treatment")</f>
        <v>treatment</v>
      </c>
      <c r="D3625" s="1" t="str">
        <f>IFERROR(__xludf.DUMMYFUNCTION("""COMPUTED_VALUE"""),"new_page")</f>
        <v>new_page</v>
      </c>
      <c r="E3625" s="1">
        <f>IFERROR(__xludf.DUMMYFUNCTION("""COMPUTED_VALUE"""),0.0)</f>
        <v>0</v>
      </c>
    </row>
    <row r="3626">
      <c r="A3626" s="1">
        <f>IFERROR(__xludf.DUMMYFUNCTION("""COMPUTED_VALUE"""),665115.0)</f>
        <v>665115</v>
      </c>
      <c r="B3626" s="2">
        <f>IFERROR(__xludf.DUMMYFUNCTION("""COMPUTED_VALUE"""),42739.6616856039)</f>
        <v>42739.66169</v>
      </c>
      <c r="C3626" s="1" t="str">
        <f>IFERROR(__xludf.DUMMYFUNCTION("""COMPUTED_VALUE"""),"control")</f>
        <v>control</v>
      </c>
      <c r="D3626" s="1" t="str">
        <f>IFERROR(__xludf.DUMMYFUNCTION("""COMPUTED_VALUE"""),"old_page")</f>
        <v>old_page</v>
      </c>
      <c r="E3626" s="1">
        <f>IFERROR(__xludf.DUMMYFUNCTION("""COMPUTED_VALUE"""),0.0)</f>
        <v>0</v>
      </c>
    </row>
    <row r="3627">
      <c r="A3627" s="1">
        <f>IFERROR(__xludf.DUMMYFUNCTION("""COMPUTED_VALUE"""),780630.0)</f>
        <v>780630</v>
      </c>
      <c r="B3627" s="2">
        <f>IFERROR(__xludf.DUMMYFUNCTION("""COMPUTED_VALUE"""),42750.706739990186)</f>
        <v>42750.70674</v>
      </c>
      <c r="C3627" s="1" t="str">
        <f>IFERROR(__xludf.DUMMYFUNCTION("""COMPUTED_VALUE"""),"control")</f>
        <v>control</v>
      </c>
      <c r="D3627" s="1" t="str">
        <f>IFERROR(__xludf.DUMMYFUNCTION("""COMPUTED_VALUE"""),"old_page")</f>
        <v>old_page</v>
      </c>
      <c r="E3627" s="1">
        <f>IFERROR(__xludf.DUMMYFUNCTION("""COMPUTED_VALUE"""),0.0)</f>
        <v>0</v>
      </c>
    </row>
    <row r="3628">
      <c r="A3628" s="1">
        <f>IFERROR(__xludf.DUMMYFUNCTION("""COMPUTED_VALUE"""),926582.0)</f>
        <v>926582</v>
      </c>
      <c r="B3628" s="2">
        <f>IFERROR(__xludf.DUMMYFUNCTION("""COMPUTED_VALUE"""),42755.07259639028)</f>
        <v>42755.0726</v>
      </c>
      <c r="C3628" s="1" t="str">
        <f>IFERROR(__xludf.DUMMYFUNCTION("""COMPUTED_VALUE"""),"control")</f>
        <v>control</v>
      </c>
      <c r="D3628" s="1" t="str">
        <f>IFERROR(__xludf.DUMMYFUNCTION("""COMPUTED_VALUE"""),"old_page")</f>
        <v>old_page</v>
      </c>
      <c r="E3628" s="1">
        <f>IFERROR(__xludf.DUMMYFUNCTION("""COMPUTED_VALUE"""),0.0)</f>
        <v>0</v>
      </c>
    </row>
    <row r="3629">
      <c r="A3629" s="1">
        <f>IFERROR(__xludf.DUMMYFUNCTION("""COMPUTED_VALUE"""),821466.0)</f>
        <v>821466</v>
      </c>
      <c r="B3629" s="2">
        <f>IFERROR(__xludf.DUMMYFUNCTION("""COMPUTED_VALUE"""),42757.59599176294)</f>
        <v>42757.59599</v>
      </c>
      <c r="C3629" s="1" t="str">
        <f>IFERROR(__xludf.DUMMYFUNCTION("""COMPUTED_VALUE"""),"treatment")</f>
        <v>treatment</v>
      </c>
      <c r="D3629" s="1" t="str">
        <f>IFERROR(__xludf.DUMMYFUNCTION("""COMPUTED_VALUE"""),"new_page")</f>
        <v>new_page</v>
      </c>
      <c r="E3629" s="1">
        <f>IFERROR(__xludf.DUMMYFUNCTION("""COMPUTED_VALUE"""),0.0)</f>
        <v>0</v>
      </c>
    </row>
    <row r="3630">
      <c r="A3630" s="1">
        <f>IFERROR(__xludf.DUMMYFUNCTION("""COMPUTED_VALUE"""),752375.0)</f>
        <v>752375</v>
      </c>
      <c r="B3630" s="2">
        <f>IFERROR(__xludf.DUMMYFUNCTION("""COMPUTED_VALUE"""),42751.02760024047)</f>
        <v>42751.0276</v>
      </c>
      <c r="C3630" s="1" t="str">
        <f>IFERROR(__xludf.DUMMYFUNCTION("""COMPUTED_VALUE"""),"control")</f>
        <v>control</v>
      </c>
      <c r="D3630" s="1" t="str">
        <f>IFERROR(__xludf.DUMMYFUNCTION("""COMPUTED_VALUE"""),"old_page")</f>
        <v>old_page</v>
      </c>
      <c r="E3630" s="1">
        <f>IFERROR(__xludf.DUMMYFUNCTION("""COMPUTED_VALUE"""),0.0)</f>
        <v>0</v>
      </c>
    </row>
    <row r="3631">
      <c r="A3631" s="1">
        <f>IFERROR(__xludf.DUMMYFUNCTION("""COMPUTED_VALUE"""),632065.0)</f>
        <v>632065</v>
      </c>
      <c r="B3631" s="2">
        <f>IFERROR(__xludf.DUMMYFUNCTION("""COMPUTED_VALUE"""),42753.18783772279)</f>
        <v>42753.18784</v>
      </c>
      <c r="C3631" s="1" t="str">
        <f>IFERROR(__xludf.DUMMYFUNCTION("""COMPUTED_VALUE"""),"treatment")</f>
        <v>treatment</v>
      </c>
      <c r="D3631" s="1" t="str">
        <f>IFERROR(__xludf.DUMMYFUNCTION("""COMPUTED_VALUE"""),"new_page")</f>
        <v>new_page</v>
      </c>
      <c r="E3631" s="1">
        <f>IFERROR(__xludf.DUMMYFUNCTION("""COMPUTED_VALUE"""),0.0)</f>
        <v>0</v>
      </c>
    </row>
    <row r="3632">
      <c r="A3632" s="1">
        <f>IFERROR(__xludf.DUMMYFUNCTION("""COMPUTED_VALUE"""),930977.0)</f>
        <v>930977</v>
      </c>
      <c r="B3632" s="2">
        <f>IFERROR(__xludf.DUMMYFUNCTION("""COMPUTED_VALUE"""),42737.711402701796)</f>
        <v>42737.7114</v>
      </c>
      <c r="C3632" s="1" t="str">
        <f>IFERROR(__xludf.DUMMYFUNCTION("""COMPUTED_VALUE"""),"treatment")</f>
        <v>treatment</v>
      </c>
      <c r="D3632" s="1" t="str">
        <f>IFERROR(__xludf.DUMMYFUNCTION("""COMPUTED_VALUE"""),"new_page")</f>
        <v>new_page</v>
      </c>
      <c r="E3632" s="1">
        <f>IFERROR(__xludf.DUMMYFUNCTION("""COMPUTED_VALUE"""),0.0)</f>
        <v>0</v>
      </c>
    </row>
    <row r="3633">
      <c r="A3633" s="1">
        <f>IFERROR(__xludf.DUMMYFUNCTION("""COMPUTED_VALUE"""),929163.0)</f>
        <v>929163</v>
      </c>
      <c r="B3633" s="2">
        <f>IFERROR(__xludf.DUMMYFUNCTION("""COMPUTED_VALUE"""),42755.739649888834)</f>
        <v>42755.73965</v>
      </c>
      <c r="C3633" s="1" t="str">
        <f>IFERROR(__xludf.DUMMYFUNCTION("""COMPUTED_VALUE"""),"control")</f>
        <v>control</v>
      </c>
      <c r="D3633" s="1" t="str">
        <f>IFERROR(__xludf.DUMMYFUNCTION("""COMPUTED_VALUE"""),"old_page")</f>
        <v>old_page</v>
      </c>
      <c r="E3633" s="1">
        <f>IFERROR(__xludf.DUMMYFUNCTION("""COMPUTED_VALUE"""),0.0)</f>
        <v>0</v>
      </c>
    </row>
    <row r="3634">
      <c r="A3634" s="1">
        <f>IFERROR(__xludf.DUMMYFUNCTION("""COMPUTED_VALUE"""),670229.0)</f>
        <v>670229</v>
      </c>
      <c r="B3634" s="2">
        <f>IFERROR(__xludf.DUMMYFUNCTION("""COMPUTED_VALUE"""),42755.87431473317)</f>
        <v>42755.87431</v>
      </c>
      <c r="C3634" s="1" t="str">
        <f>IFERROR(__xludf.DUMMYFUNCTION("""COMPUTED_VALUE"""),"treatment")</f>
        <v>treatment</v>
      </c>
      <c r="D3634" s="1" t="str">
        <f>IFERROR(__xludf.DUMMYFUNCTION("""COMPUTED_VALUE"""),"new_page")</f>
        <v>new_page</v>
      </c>
      <c r="E3634" s="1">
        <f>IFERROR(__xludf.DUMMYFUNCTION("""COMPUTED_VALUE"""),0.0)</f>
        <v>0</v>
      </c>
    </row>
    <row r="3635">
      <c r="A3635" s="1">
        <f>IFERROR(__xludf.DUMMYFUNCTION("""COMPUTED_VALUE"""),635417.0)</f>
        <v>635417</v>
      </c>
      <c r="B3635" s="2">
        <f>IFERROR(__xludf.DUMMYFUNCTION("""COMPUTED_VALUE"""),42742.162923474476)</f>
        <v>42742.16292</v>
      </c>
      <c r="C3635" s="1" t="str">
        <f>IFERROR(__xludf.DUMMYFUNCTION("""COMPUTED_VALUE"""),"control")</f>
        <v>control</v>
      </c>
      <c r="D3635" s="1" t="str">
        <f>IFERROR(__xludf.DUMMYFUNCTION("""COMPUTED_VALUE"""),"old_page")</f>
        <v>old_page</v>
      </c>
      <c r="E3635" s="1">
        <f>IFERROR(__xludf.DUMMYFUNCTION("""COMPUTED_VALUE"""),0.0)</f>
        <v>0</v>
      </c>
    </row>
    <row r="3636">
      <c r="A3636" s="1">
        <f>IFERROR(__xludf.DUMMYFUNCTION("""COMPUTED_VALUE"""),650293.0)</f>
        <v>650293</v>
      </c>
      <c r="B3636" s="2">
        <f>IFERROR(__xludf.DUMMYFUNCTION("""COMPUTED_VALUE"""),42754.78861381706)</f>
        <v>42754.78861</v>
      </c>
      <c r="C3636" s="1" t="str">
        <f>IFERROR(__xludf.DUMMYFUNCTION("""COMPUTED_VALUE"""),"treatment")</f>
        <v>treatment</v>
      </c>
      <c r="D3636" s="1" t="str">
        <f>IFERROR(__xludf.DUMMYFUNCTION("""COMPUTED_VALUE"""),"new_page")</f>
        <v>new_page</v>
      </c>
      <c r="E3636" s="1">
        <f>IFERROR(__xludf.DUMMYFUNCTION("""COMPUTED_VALUE"""),0.0)</f>
        <v>0</v>
      </c>
    </row>
    <row r="3637">
      <c r="A3637" s="1">
        <f>IFERROR(__xludf.DUMMYFUNCTION("""COMPUTED_VALUE"""),792245.0)</f>
        <v>792245</v>
      </c>
      <c r="B3637" s="2">
        <f>IFERROR(__xludf.DUMMYFUNCTION("""COMPUTED_VALUE"""),42747.15733568823)</f>
        <v>42747.15734</v>
      </c>
      <c r="C3637" s="1" t="str">
        <f>IFERROR(__xludf.DUMMYFUNCTION("""COMPUTED_VALUE"""),"control")</f>
        <v>control</v>
      </c>
      <c r="D3637" s="1" t="str">
        <f>IFERROR(__xludf.DUMMYFUNCTION("""COMPUTED_VALUE"""),"old_page")</f>
        <v>old_page</v>
      </c>
      <c r="E3637" s="1">
        <f>IFERROR(__xludf.DUMMYFUNCTION("""COMPUTED_VALUE"""),0.0)</f>
        <v>0</v>
      </c>
    </row>
    <row r="3638">
      <c r="A3638" s="1">
        <f>IFERROR(__xludf.DUMMYFUNCTION("""COMPUTED_VALUE"""),919692.0)</f>
        <v>919692</v>
      </c>
      <c r="B3638" s="2">
        <f>IFERROR(__xludf.DUMMYFUNCTION("""COMPUTED_VALUE"""),42758.69529049243)</f>
        <v>42758.69529</v>
      </c>
      <c r="C3638" s="1" t="str">
        <f>IFERROR(__xludf.DUMMYFUNCTION("""COMPUTED_VALUE"""),"treatment")</f>
        <v>treatment</v>
      </c>
      <c r="D3638" s="1" t="str">
        <f>IFERROR(__xludf.DUMMYFUNCTION("""COMPUTED_VALUE"""),"new_page")</f>
        <v>new_page</v>
      </c>
      <c r="E3638" s="1">
        <f>IFERROR(__xludf.DUMMYFUNCTION("""COMPUTED_VALUE"""),0.0)</f>
        <v>0</v>
      </c>
    </row>
    <row r="3639">
      <c r="A3639" s="1">
        <f>IFERROR(__xludf.DUMMYFUNCTION("""COMPUTED_VALUE"""),937803.0)</f>
        <v>937803</v>
      </c>
      <c r="B3639" s="2">
        <f>IFERROR(__xludf.DUMMYFUNCTION("""COMPUTED_VALUE"""),42746.490613582624)</f>
        <v>42746.49061</v>
      </c>
      <c r="C3639" s="1" t="str">
        <f>IFERROR(__xludf.DUMMYFUNCTION("""COMPUTED_VALUE"""),"treatment")</f>
        <v>treatment</v>
      </c>
      <c r="D3639" s="1" t="str">
        <f>IFERROR(__xludf.DUMMYFUNCTION("""COMPUTED_VALUE"""),"new_page")</f>
        <v>new_page</v>
      </c>
      <c r="E3639" s="1">
        <f>IFERROR(__xludf.DUMMYFUNCTION("""COMPUTED_VALUE"""),0.0)</f>
        <v>0</v>
      </c>
    </row>
    <row r="3640">
      <c r="A3640" s="1">
        <f>IFERROR(__xludf.DUMMYFUNCTION("""COMPUTED_VALUE"""),724623.0)</f>
        <v>724623</v>
      </c>
      <c r="B3640" s="2">
        <f>IFERROR(__xludf.DUMMYFUNCTION("""COMPUTED_VALUE"""),42754.57347898978)</f>
        <v>42754.57348</v>
      </c>
      <c r="C3640" s="1" t="str">
        <f>IFERROR(__xludf.DUMMYFUNCTION("""COMPUTED_VALUE"""),"control")</f>
        <v>control</v>
      </c>
      <c r="D3640" s="1" t="str">
        <f>IFERROR(__xludf.DUMMYFUNCTION("""COMPUTED_VALUE"""),"old_page")</f>
        <v>old_page</v>
      </c>
      <c r="E3640" s="1">
        <f>IFERROR(__xludf.DUMMYFUNCTION("""COMPUTED_VALUE"""),0.0)</f>
        <v>0</v>
      </c>
    </row>
    <row r="3641">
      <c r="A3641" s="1">
        <f>IFERROR(__xludf.DUMMYFUNCTION("""COMPUTED_VALUE"""),680159.0)</f>
        <v>680159</v>
      </c>
      <c r="B3641" s="2">
        <f>IFERROR(__xludf.DUMMYFUNCTION("""COMPUTED_VALUE"""),42750.908437947524)</f>
        <v>42750.90844</v>
      </c>
      <c r="C3641" s="1" t="str">
        <f>IFERROR(__xludf.DUMMYFUNCTION("""COMPUTED_VALUE"""),"control")</f>
        <v>control</v>
      </c>
      <c r="D3641" s="1" t="str">
        <f>IFERROR(__xludf.DUMMYFUNCTION("""COMPUTED_VALUE"""),"old_page")</f>
        <v>old_page</v>
      </c>
      <c r="E3641" s="1">
        <f>IFERROR(__xludf.DUMMYFUNCTION("""COMPUTED_VALUE"""),0.0)</f>
        <v>0</v>
      </c>
    </row>
    <row r="3642">
      <c r="A3642" s="1">
        <f>IFERROR(__xludf.DUMMYFUNCTION("""COMPUTED_VALUE"""),908642.0)</f>
        <v>908642</v>
      </c>
      <c r="B3642" s="2">
        <f>IFERROR(__xludf.DUMMYFUNCTION("""COMPUTED_VALUE"""),42744.6728931263)</f>
        <v>42744.67289</v>
      </c>
      <c r="C3642" s="1" t="str">
        <f>IFERROR(__xludf.DUMMYFUNCTION("""COMPUTED_VALUE"""),"treatment")</f>
        <v>treatment</v>
      </c>
      <c r="D3642" s="1" t="str">
        <f>IFERROR(__xludf.DUMMYFUNCTION("""COMPUTED_VALUE"""),"new_page")</f>
        <v>new_page</v>
      </c>
      <c r="E3642" s="1">
        <f>IFERROR(__xludf.DUMMYFUNCTION("""COMPUTED_VALUE"""),0.0)</f>
        <v>0</v>
      </c>
    </row>
    <row r="3643">
      <c r="A3643" s="1">
        <f>IFERROR(__xludf.DUMMYFUNCTION("""COMPUTED_VALUE"""),791939.0)</f>
        <v>791939</v>
      </c>
      <c r="B3643" s="2">
        <f>IFERROR(__xludf.DUMMYFUNCTION("""COMPUTED_VALUE"""),42756.054034791574)</f>
        <v>42756.05403</v>
      </c>
      <c r="C3643" s="1" t="str">
        <f>IFERROR(__xludf.DUMMYFUNCTION("""COMPUTED_VALUE"""),"control")</f>
        <v>control</v>
      </c>
      <c r="D3643" s="1" t="str">
        <f>IFERROR(__xludf.DUMMYFUNCTION("""COMPUTED_VALUE"""),"old_page")</f>
        <v>old_page</v>
      </c>
      <c r="E3643" s="1">
        <f>IFERROR(__xludf.DUMMYFUNCTION("""COMPUTED_VALUE"""),0.0)</f>
        <v>0</v>
      </c>
    </row>
    <row r="3644">
      <c r="A3644" s="1">
        <f>IFERROR(__xludf.DUMMYFUNCTION("""COMPUTED_VALUE"""),732060.0)</f>
        <v>732060</v>
      </c>
      <c r="B3644" s="2">
        <f>IFERROR(__xludf.DUMMYFUNCTION("""COMPUTED_VALUE"""),42741.461819199525)</f>
        <v>42741.46182</v>
      </c>
      <c r="C3644" s="1" t="str">
        <f>IFERROR(__xludf.DUMMYFUNCTION("""COMPUTED_VALUE"""),"treatment")</f>
        <v>treatment</v>
      </c>
      <c r="D3644" s="1" t="str">
        <f>IFERROR(__xludf.DUMMYFUNCTION("""COMPUTED_VALUE"""),"new_page")</f>
        <v>new_page</v>
      </c>
      <c r="E3644" s="1">
        <f>IFERROR(__xludf.DUMMYFUNCTION("""COMPUTED_VALUE"""),0.0)</f>
        <v>0</v>
      </c>
    </row>
    <row r="3645">
      <c r="A3645" s="1">
        <f>IFERROR(__xludf.DUMMYFUNCTION("""COMPUTED_VALUE"""),729486.0)</f>
        <v>729486</v>
      </c>
      <c r="B3645" s="2">
        <f>IFERROR(__xludf.DUMMYFUNCTION("""COMPUTED_VALUE"""),42738.84308832458)</f>
        <v>42738.84309</v>
      </c>
      <c r="C3645" s="1" t="str">
        <f>IFERROR(__xludf.DUMMYFUNCTION("""COMPUTED_VALUE"""),"treatment")</f>
        <v>treatment</v>
      </c>
      <c r="D3645" s="1" t="str">
        <f>IFERROR(__xludf.DUMMYFUNCTION("""COMPUTED_VALUE"""),"new_page")</f>
        <v>new_page</v>
      </c>
      <c r="E3645" s="1">
        <f>IFERROR(__xludf.DUMMYFUNCTION("""COMPUTED_VALUE"""),0.0)</f>
        <v>0</v>
      </c>
    </row>
    <row r="3646">
      <c r="A3646" s="1">
        <f>IFERROR(__xludf.DUMMYFUNCTION("""COMPUTED_VALUE"""),765711.0)</f>
        <v>765711</v>
      </c>
      <c r="B3646" s="2">
        <f>IFERROR(__xludf.DUMMYFUNCTION("""COMPUTED_VALUE"""),42738.285058453475)</f>
        <v>42738.28506</v>
      </c>
      <c r="C3646" s="1" t="str">
        <f>IFERROR(__xludf.DUMMYFUNCTION("""COMPUTED_VALUE"""),"treatment")</f>
        <v>treatment</v>
      </c>
      <c r="D3646" s="1" t="str">
        <f>IFERROR(__xludf.DUMMYFUNCTION("""COMPUTED_VALUE"""),"new_page")</f>
        <v>new_page</v>
      </c>
      <c r="E3646" s="1">
        <f>IFERROR(__xludf.DUMMYFUNCTION("""COMPUTED_VALUE"""),0.0)</f>
        <v>0</v>
      </c>
    </row>
    <row r="3647">
      <c r="A3647" s="1">
        <f>IFERROR(__xludf.DUMMYFUNCTION("""COMPUTED_VALUE"""),742242.0)</f>
        <v>742242</v>
      </c>
      <c r="B3647" s="2">
        <f>IFERROR(__xludf.DUMMYFUNCTION("""COMPUTED_VALUE"""),42756.88313462514)</f>
        <v>42756.88313</v>
      </c>
      <c r="C3647" s="1" t="str">
        <f>IFERROR(__xludf.DUMMYFUNCTION("""COMPUTED_VALUE"""),"treatment")</f>
        <v>treatment</v>
      </c>
      <c r="D3647" s="1" t="str">
        <f>IFERROR(__xludf.DUMMYFUNCTION("""COMPUTED_VALUE"""),"new_page")</f>
        <v>new_page</v>
      </c>
      <c r="E3647" s="1">
        <f>IFERROR(__xludf.DUMMYFUNCTION("""COMPUTED_VALUE"""),0.0)</f>
        <v>0</v>
      </c>
    </row>
    <row r="3648">
      <c r="A3648" s="1">
        <f>IFERROR(__xludf.DUMMYFUNCTION("""COMPUTED_VALUE"""),748481.0)</f>
        <v>748481</v>
      </c>
      <c r="B3648" s="2">
        <f>IFERROR(__xludf.DUMMYFUNCTION("""COMPUTED_VALUE"""),42739.864839619506)</f>
        <v>42739.86484</v>
      </c>
      <c r="C3648" s="1" t="str">
        <f>IFERROR(__xludf.DUMMYFUNCTION("""COMPUTED_VALUE"""),"treatment")</f>
        <v>treatment</v>
      </c>
      <c r="D3648" s="1" t="str">
        <f>IFERROR(__xludf.DUMMYFUNCTION("""COMPUTED_VALUE"""),"new_page")</f>
        <v>new_page</v>
      </c>
      <c r="E3648" s="1">
        <f>IFERROR(__xludf.DUMMYFUNCTION("""COMPUTED_VALUE"""),0.0)</f>
        <v>0</v>
      </c>
    </row>
    <row r="3649">
      <c r="A3649" s="1">
        <f>IFERROR(__xludf.DUMMYFUNCTION("""COMPUTED_VALUE"""),912567.0)</f>
        <v>912567</v>
      </c>
      <c r="B3649" s="2">
        <f>IFERROR(__xludf.DUMMYFUNCTION("""COMPUTED_VALUE"""),42747.91861891143)</f>
        <v>42747.91862</v>
      </c>
      <c r="C3649" s="1" t="str">
        <f>IFERROR(__xludf.DUMMYFUNCTION("""COMPUTED_VALUE"""),"control")</f>
        <v>control</v>
      </c>
      <c r="D3649" s="1" t="str">
        <f>IFERROR(__xludf.DUMMYFUNCTION("""COMPUTED_VALUE"""),"old_page")</f>
        <v>old_page</v>
      </c>
      <c r="E3649" s="1">
        <f>IFERROR(__xludf.DUMMYFUNCTION("""COMPUTED_VALUE"""),0.0)</f>
        <v>0</v>
      </c>
    </row>
    <row r="3650">
      <c r="A3650" s="1">
        <f>IFERROR(__xludf.DUMMYFUNCTION("""COMPUTED_VALUE"""),853415.0)</f>
        <v>853415</v>
      </c>
      <c r="B3650" s="2">
        <f>IFERROR(__xludf.DUMMYFUNCTION("""COMPUTED_VALUE"""),42747.63257823542)</f>
        <v>42747.63258</v>
      </c>
      <c r="C3650" s="1" t="str">
        <f>IFERROR(__xludf.DUMMYFUNCTION("""COMPUTED_VALUE"""),"control")</f>
        <v>control</v>
      </c>
      <c r="D3650" s="1" t="str">
        <f>IFERROR(__xludf.DUMMYFUNCTION("""COMPUTED_VALUE"""),"old_page")</f>
        <v>old_page</v>
      </c>
      <c r="E3650" s="1">
        <f>IFERROR(__xludf.DUMMYFUNCTION("""COMPUTED_VALUE"""),0.0)</f>
        <v>0</v>
      </c>
    </row>
    <row r="3651">
      <c r="A3651" s="1">
        <f>IFERROR(__xludf.DUMMYFUNCTION("""COMPUTED_VALUE"""),866802.0)</f>
        <v>866802</v>
      </c>
      <c r="B3651" s="2">
        <f>IFERROR(__xludf.DUMMYFUNCTION("""COMPUTED_VALUE"""),42753.016145518704)</f>
        <v>42753.01615</v>
      </c>
      <c r="C3651" s="1" t="str">
        <f>IFERROR(__xludf.DUMMYFUNCTION("""COMPUTED_VALUE"""),"control")</f>
        <v>control</v>
      </c>
      <c r="D3651" s="1" t="str">
        <f>IFERROR(__xludf.DUMMYFUNCTION("""COMPUTED_VALUE"""),"old_page")</f>
        <v>old_page</v>
      </c>
      <c r="E3651" s="1">
        <f>IFERROR(__xludf.DUMMYFUNCTION("""COMPUTED_VALUE"""),0.0)</f>
        <v>0</v>
      </c>
    </row>
    <row r="3652">
      <c r="A3652" s="1">
        <f>IFERROR(__xludf.DUMMYFUNCTION("""COMPUTED_VALUE"""),683854.0)</f>
        <v>683854</v>
      </c>
      <c r="B3652" s="2">
        <f>IFERROR(__xludf.DUMMYFUNCTION("""COMPUTED_VALUE"""),42754.168423907395)</f>
        <v>42754.16842</v>
      </c>
      <c r="C3652" s="1" t="str">
        <f>IFERROR(__xludf.DUMMYFUNCTION("""COMPUTED_VALUE"""),"control")</f>
        <v>control</v>
      </c>
      <c r="D3652" s="1" t="str">
        <f>IFERROR(__xludf.DUMMYFUNCTION("""COMPUTED_VALUE"""),"old_page")</f>
        <v>old_page</v>
      </c>
      <c r="E3652" s="1">
        <f>IFERROR(__xludf.DUMMYFUNCTION("""COMPUTED_VALUE"""),0.0)</f>
        <v>0</v>
      </c>
    </row>
    <row r="3653">
      <c r="A3653" s="1">
        <f>IFERROR(__xludf.DUMMYFUNCTION("""COMPUTED_VALUE"""),685760.0)</f>
        <v>685760</v>
      </c>
      <c r="B3653" s="2">
        <f>IFERROR(__xludf.DUMMYFUNCTION("""COMPUTED_VALUE"""),42744.16391735222)</f>
        <v>42744.16392</v>
      </c>
      <c r="C3653" s="1" t="str">
        <f>IFERROR(__xludf.DUMMYFUNCTION("""COMPUTED_VALUE"""),"control")</f>
        <v>control</v>
      </c>
      <c r="D3653" s="1" t="str">
        <f>IFERROR(__xludf.DUMMYFUNCTION("""COMPUTED_VALUE"""),"old_page")</f>
        <v>old_page</v>
      </c>
      <c r="E3653" s="1">
        <f>IFERROR(__xludf.DUMMYFUNCTION("""COMPUTED_VALUE"""),0.0)</f>
        <v>0</v>
      </c>
    </row>
    <row r="3654">
      <c r="A3654" s="1">
        <f>IFERROR(__xludf.DUMMYFUNCTION("""COMPUTED_VALUE"""),653439.0)</f>
        <v>653439</v>
      </c>
      <c r="B3654" s="2">
        <f>IFERROR(__xludf.DUMMYFUNCTION("""COMPUTED_VALUE"""),42740.81058191876)</f>
        <v>42740.81058</v>
      </c>
      <c r="C3654" s="1" t="str">
        <f>IFERROR(__xludf.DUMMYFUNCTION("""COMPUTED_VALUE"""),"treatment")</f>
        <v>treatment</v>
      </c>
      <c r="D3654" s="1" t="str">
        <f>IFERROR(__xludf.DUMMYFUNCTION("""COMPUTED_VALUE"""),"new_page")</f>
        <v>new_page</v>
      </c>
      <c r="E3654" s="1">
        <f>IFERROR(__xludf.DUMMYFUNCTION("""COMPUTED_VALUE"""),0.0)</f>
        <v>0</v>
      </c>
    </row>
    <row r="3655">
      <c r="A3655" s="1">
        <f>IFERROR(__xludf.DUMMYFUNCTION("""COMPUTED_VALUE"""),725988.0)</f>
        <v>725988</v>
      </c>
      <c r="B3655" s="2">
        <f>IFERROR(__xludf.DUMMYFUNCTION("""COMPUTED_VALUE"""),42754.51705295982)</f>
        <v>42754.51705</v>
      </c>
      <c r="C3655" s="1" t="str">
        <f>IFERROR(__xludf.DUMMYFUNCTION("""COMPUTED_VALUE"""),"control")</f>
        <v>control</v>
      </c>
      <c r="D3655" s="1" t="str">
        <f>IFERROR(__xludf.DUMMYFUNCTION("""COMPUTED_VALUE"""),"old_page")</f>
        <v>old_page</v>
      </c>
      <c r="E3655" s="1">
        <f>IFERROR(__xludf.DUMMYFUNCTION("""COMPUTED_VALUE"""),0.0)</f>
        <v>0</v>
      </c>
    </row>
    <row r="3656">
      <c r="A3656" s="1">
        <f>IFERROR(__xludf.DUMMYFUNCTION("""COMPUTED_VALUE"""),869176.0)</f>
        <v>869176</v>
      </c>
      <c r="B3656" s="2">
        <f>IFERROR(__xludf.DUMMYFUNCTION("""COMPUTED_VALUE"""),42755.07830803032)</f>
        <v>42755.07831</v>
      </c>
      <c r="C3656" s="1" t="str">
        <f>IFERROR(__xludf.DUMMYFUNCTION("""COMPUTED_VALUE"""),"control")</f>
        <v>control</v>
      </c>
      <c r="D3656" s="1" t="str">
        <f>IFERROR(__xludf.DUMMYFUNCTION("""COMPUTED_VALUE"""),"old_page")</f>
        <v>old_page</v>
      </c>
      <c r="E3656" s="1">
        <f>IFERROR(__xludf.DUMMYFUNCTION("""COMPUTED_VALUE"""),0.0)</f>
        <v>0</v>
      </c>
    </row>
    <row r="3657">
      <c r="A3657" s="1">
        <f>IFERROR(__xludf.DUMMYFUNCTION("""COMPUTED_VALUE"""),651529.0)</f>
        <v>651529</v>
      </c>
      <c r="B3657" s="2">
        <f>IFERROR(__xludf.DUMMYFUNCTION("""COMPUTED_VALUE"""),42749.91701183457)</f>
        <v>42749.91701</v>
      </c>
      <c r="C3657" s="1" t="str">
        <f>IFERROR(__xludf.DUMMYFUNCTION("""COMPUTED_VALUE"""),"treatment")</f>
        <v>treatment</v>
      </c>
      <c r="D3657" s="1" t="str">
        <f>IFERROR(__xludf.DUMMYFUNCTION("""COMPUTED_VALUE"""),"new_page")</f>
        <v>new_page</v>
      </c>
      <c r="E3657" s="1">
        <f>IFERROR(__xludf.DUMMYFUNCTION("""COMPUTED_VALUE"""),0.0)</f>
        <v>0</v>
      </c>
    </row>
    <row r="3658">
      <c r="A3658" s="1">
        <f>IFERROR(__xludf.DUMMYFUNCTION("""COMPUTED_VALUE"""),874829.0)</f>
        <v>874829</v>
      </c>
      <c r="B3658" s="2">
        <f>IFERROR(__xludf.DUMMYFUNCTION("""COMPUTED_VALUE"""),42758.20048108007)</f>
        <v>42758.20048</v>
      </c>
      <c r="C3658" s="1" t="str">
        <f>IFERROR(__xludf.DUMMYFUNCTION("""COMPUTED_VALUE"""),"control")</f>
        <v>control</v>
      </c>
      <c r="D3658" s="1" t="str">
        <f>IFERROR(__xludf.DUMMYFUNCTION("""COMPUTED_VALUE"""),"old_page")</f>
        <v>old_page</v>
      </c>
      <c r="E3658" s="1">
        <f>IFERROR(__xludf.DUMMYFUNCTION("""COMPUTED_VALUE"""),0.0)</f>
        <v>0</v>
      </c>
    </row>
    <row r="3659">
      <c r="A3659" s="1">
        <f>IFERROR(__xludf.DUMMYFUNCTION("""COMPUTED_VALUE"""),767950.0)</f>
        <v>767950</v>
      </c>
      <c r="B3659" s="2">
        <f>IFERROR(__xludf.DUMMYFUNCTION("""COMPUTED_VALUE"""),42758.719938592316)</f>
        <v>42758.71994</v>
      </c>
      <c r="C3659" s="1" t="str">
        <f>IFERROR(__xludf.DUMMYFUNCTION("""COMPUTED_VALUE"""),"control")</f>
        <v>control</v>
      </c>
      <c r="D3659" s="1" t="str">
        <f>IFERROR(__xludf.DUMMYFUNCTION("""COMPUTED_VALUE"""),"old_page")</f>
        <v>old_page</v>
      </c>
      <c r="E3659" s="1">
        <f>IFERROR(__xludf.DUMMYFUNCTION("""COMPUTED_VALUE"""),0.0)</f>
        <v>0</v>
      </c>
    </row>
    <row r="3660">
      <c r="A3660" s="1">
        <f>IFERROR(__xludf.DUMMYFUNCTION("""COMPUTED_VALUE"""),763314.0)</f>
        <v>763314</v>
      </c>
      <c r="B3660" s="2">
        <f>IFERROR(__xludf.DUMMYFUNCTION("""COMPUTED_VALUE"""),42759.324476353555)</f>
        <v>42759.32448</v>
      </c>
      <c r="C3660" s="1" t="str">
        <f>IFERROR(__xludf.DUMMYFUNCTION("""COMPUTED_VALUE"""),"treatment")</f>
        <v>treatment</v>
      </c>
      <c r="D3660" s="1" t="str">
        <f>IFERROR(__xludf.DUMMYFUNCTION("""COMPUTED_VALUE"""),"new_page")</f>
        <v>new_page</v>
      </c>
      <c r="E3660" s="1">
        <f>IFERROR(__xludf.DUMMYFUNCTION("""COMPUTED_VALUE"""),0.0)</f>
        <v>0</v>
      </c>
    </row>
    <row r="3661">
      <c r="A3661" s="1">
        <f>IFERROR(__xludf.DUMMYFUNCTION("""COMPUTED_VALUE"""),901054.0)</f>
        <v>901054</v>
      </c>
      <c r="B3661" s="2">
        <f>IFERROR(__xludf.DUMMYFUNCTION("""COMPUTED_VALUE"""),42739.45503906525)</f>
        <v>42739.45504</v>
      </c>
      <c r="C3661" s="1" t="str">
        <f>IFERROR(__xludf.DUMMYFUNCTION("""COMPUTED_VALUE"""),"treatment")</f>
        <v>treatment</v>
      </c>
      <c r="D3661" s="1" t="str">
        <f>IFERROR(__xludf.DUMMYFUNCTION("""COMPUTED_VALUE"""),"new_page")</f>
        <v>new_page</v>
      </c>
      <c r="E3661" s="1">
        <f>IFERROR(__xludf.DUMMYFUNCTION("""COMPUTED_VALUE"""),1.0)</f>
        <v>1</v>
      </c>
    </row>
    <row r="3662">
      <c r="A3662" s="1">
        <f>IFERROR(__xludf.DUMMYFUNCTION("""COMPUTED_VALUE"""),886316.0)</f>
        <v>886316</v>
      </c>
      <c r="B3662" s="2">
        <f>IFERROR(__xludf.DUMMYFUNCTION("""COMPUTED_VALUE"""),42749.004978952755)</f>
        <v>42749.00498</v>
      </c>
      <c r="C3662" s="1" t="str">
        <f>IFERROR(__xludf.DUMMYFUNCTION("""COMPUTED_VALUE"""),"treatment")</f>
        <v>treatment</v>
      </c>
      <c r="D3662" s="1" t="str">
        <f>IFERROR(__xludf.DUMMYFUNCTION("""COMPUTED_VALUE"""),"new_page")</f>
        <v>new_page</v>
      </c>
      <c r="E3662" s="1">
        <f>IFERROR(__xludf.DUMMYFUNCTION("""COMPUTED_VALUE"""),0.0)</f>
        <v>0</v>
      </c>
    </row>
    <row r="3663">
      <c r="A3663" s="1">
        <f>IFERROR(__xludf.DUMMYFUNCTION("""COMPUTED_VALUE"""),839154.0)</f>
        <v>839154</v>
      </c>
      <c r="B3663" s="2">
        <f>IFERROR(__xludf.DUMMYFUNCTION("""COMPUTED_VALUE"""),42745.67627326464)</f>
        <v>42745.67627</v>
      </c>
      <c r="C3663" s="1" t="str">
        <f>IFERROR(__xludf.DUMMYFUNCTION("""COMPUTED_VALUE"""),"control")</f>
        <v>control</v>
      </c>
      <c r="D3663" s="1" t="str">
        <f>IFERROR(__xludf.DUMMYFUNCTION("""COMPUTED_VALUE"""),"old_page")</f>
        <v>old_page</v>
      </c>
      <c r="E3663" s="1">
        <f>IFERROR(__xludf.DUMMYFUNCTION("""COMPUTED_VALUE"""),0.0)</f>
        <v>0</v>
      </c>
    </row>
    <row r="3664">
      <c r="A3664" s="1">
        <f>IFERROR(__xludf.DUMMYFUNCTION("""COMPUTED_VALUE"""),843634.0)</f>
        <v>843634</v>
      </c>
      <c r="B3664" s="2">
        <f>IFERROR(__xludf.DUMMYFUNCTION("""COMPUTED_VALUE"""),42738.022565694584)</f>
        <v>42738.02257</v>
      </c>
      <c r="C3664" s="1" t="str">
        <f>IFERROR(__xludf.DUMMYFUNCTION("""COMPUTED_VALUE"""),"control")</f>
        <v>control</v>
      </c>
      <c r="D3664" s="1" t="str">
        <f>IFERROR(__xludf.DUMMYFUNCTION("""COMPUTED_VALUE"""),"old_page")</f>
        <v>old_page</v>
      </c>
      <c r="E3664" s="1">
        <f>IFERROR(__xludf.DUMMYFUNCTION("""COMPUTED_VALUE"""),0.0)</f>
        <v>0</v>
      </c>
    </row>
    <row r="3665">
      <c r="A3665" s="1">
        <f>IFERROR(__xludf.DUMMYFUNCTION("""COMPUTED_VALUE"""),764139.0)</f>
        <v>764139</v>
      </c>
      <c r="B3665" s="2">
        <f>IFERROR(__xludf.DUMMYFUNCTION("""COMPUTED_VALUE"""),42755.80784685892)</f>
        <v>42755.80785</v>
      </c>
      <c r="C3665" s="1" t="str">
        <f>IFERROR(__xludf.DUMMYFUNCTION("""COMPUTED_VALUE"""),"control")</f>
        <v>control</v>
      </c>
      <c r="D3665" s="1" t="str">
        <f>IFERROR(__xludf.DUMMYFUNCTION("""COMPUTED_VALUE"""),"old_page")</f>
        <v>old_page</v>
      </c>
      <c r="E3665" s="1">
        <f>IFERROR(__xludf.DUMMYFUNCTION("""COMPUTED_VALUE"""),0.0)</f>
        <v>0</v>
      </c>
    </row>
    <row r="3666">
      <c r="A3666" s="1">
        <f>IFERROR(__xludf.DUMMYFUNCTION("""COMPUTED_VALUE"""),713928.0)</f>
        <v>713928</v>
      </c>
      <c r="B3666" s="2">
        <f>IFERROR(__xludf.DUMMYFUNCTION("""COMPUTED_VALUE"""),42753.55568901683)</f>
        <v>42753.55569</v>
      </c>
      <c r="C3666" s="1" t="str">
        <f>IFERROR(__xludf.DUMMYFUNCTION("""COMPUTED_VALUE"""),"control")</f>
        <v>control</v>
      </c>
      <c r="D3666" s="1" t="str">
        <f>IFERROR(__xludf.DUMMYFUNCTION("""COMPUTED_VALUE"""),"old_page")</f>
        <v>old_page</v>
      </c>
      <c r="E3666" s="1">
        <f>IFERROR(__xludf.DUMMYFUNCTION("""COMPUTED_VALUE"""),0.0)</f>
        <v>0</v>
      </c>
    </row>
    <row r="3667">
      <c r="A3667" s="1">
        <f>IFERROR(__xludf.DUMMYFUNCTION("""COMPUTED_VALUE"""),883330.0)</f>
        <v>883330</v>
      </c>
      <c r="B3667" s="2">
        <f>IFERROR(__xludf.DUMMYFUNCTION("""COMPUTED_VALUE"""),42747.87525745116)</f>
        <v>42747.87526</v>
      </c>
      <c r="C3667" s="1" t="str">
        <f>IFERROR(__xludf.DUMMYFUNCTION("""COMPUTED_VALUE"""),"control")</f>
        <v>control</v>
      </c>
      <c r="D3667" s="1" t="str">
        <f>IFERROR(__xludf.DUMMYFUNCTION("""COMPUTED_VALUE"""),"old_page")</f>
        <v>old_page</v>
      </c>
      <c r="E3667" s="1">
        <f>IFERROR(__xludf.DUMMYFUNCTION("""COMPUTED_VALUE"""),0.0)</f>
        <v>0</v>
      </c>
    </row>
    <row r="3668">
      <c r="A3668" s="1">
        <f>IFERROR(__xludf.DUMMYFUNCTION("""COMPUTED_VALUE"""),877397.0)</f>
        <v>877397</v>
      </c>
      <c r="B3668" s="2">
        <f>IFERROR(__xludf.DUMMYFUNCTION("""COMPUTED_VALUE"""),42742.78767775915)</f>
        <v>42742.78768</v>
      </c>
      <c r="C3668" s="1" t="str">
        <f>IFERROR(__xludf.DUMMYFUNCTION("""COMPUTED_VALUE"""),"control")</f>
        <v>control</v>
      </c>
      <c r="D3668" s="1" t="str">
        <f>IFERROR(__xludf.DUMMYFUNCTION("""COMPUTED_VALUE"""),"old_page")</f>
        <v>old_page</v>
      </c>
      <c r="E3668" s="1">
        <f>IFERROR(__xludf.DUMMYFUNCTION("""COMPUTED_VALUE"""),0.0)</f>
        <v>0</v>
      </c>
    </row>
    <row r="3669">
      <c r="A3669" s="1">
        <f>IFERROR(__xludf.DUMMYFUNCTION("""COMPUTED_VALUE"""),763605.0)</f>
        <v>763605</v>
      </c>
      <c r="B3669" s="2">
        <f>IFERROR(__xludf.DUMMYFUNCTION("""COMPUTED_VALUE"""),42751.774514254794)</f>
        <v>42751.77451</v>
      </c>
      <c r="C3669" s="1" t="str">
        <f>IFERROR(__xludf.DUMMYFUNCTION("""COMPUTED_VALUE"""),"treatment")</f>
        <v>treatment</v>
      </c>
      <c r="D3669" s="1" t="str">
        <f>IFERROR(__xludf.DUMMYFUNCTION("""COMPUTED_VALUE"""),"new_page")</f>
        <v>new_page</v>
      </c>
      <c r="E3669" s="1">
        <f>IFERROR(__xludf.DUMMYFUNCTION("""COMPUTED_VALUE"""),0.0)</f>
        <v>0</v>
      </c>
    </row>
    <row r="3670">
      <c r="A3670" s="1">
        <f>IFERROR(__xludf.DUMMYFUNCTION("""COMPUTED_VALUE"""),738590.0)</f>
        <v>738590</v>
      </c>
      <c r="B3670" s="2">
        <f>IFERROR(__xludf.DUMMYFUNCTION("""COMPUTED_VALUE"""),42738.59754004797)</f>
        <v>42738.59754</v>
      </c>
      <c r="C3670" s="1" t="str">
        <f>IFERROR(__xludf.DUMMYFUNCTION("""COMPUTED_VALUE"""),"treatment")</f>
        <v>treatment</v>
      </c>
      <c r="D3670" s="1" t="str">
        <f>IFERROR(__xludf.DUMMYFUNCTION("""COMPUTED_VALUE"""),"new_page")</f>
        <v>new_page</v>
      </c>
      <c r="E3670" s="1">
        <f>IFERROR(__xludf.DUMMYFUNCTION("""COMPUTED_VALUE"""),0.0)</f>
        <v>0</v>
      </c>
    </row>
    <row r="3671">
      <c r="A3671" s="1">
        <f>IFERROR(__xludf.DUMMYFUNCTION("""COMPUTED_VALUE"""),713227.0)</f>
        <v>713227</v>
      </c>
      <c r="B3671" s="2">
        <f>IFERROR(__xludf.DUMMYFUNCTION("""COMPUTED_VALUE"""),42742.809768938634)</f>
        <v>42742.80977</v>
      </c>
      <c r="C3671" s="1" t="str">
        <f>IFERROR(__xludf.DUMMYFUNCTION("""COMPUTED_VALUE"""),"control")</f>
        <v>control</v>
      </c>
      <c r="D3671" s="1" t="str">
        <f>IFERROR(__xludf.DUMMYFUNCTION("""COMPUTED_VALUE"""),"old_page")</f>
        <v>old_page</v>
      </c>
      <c r="E3671" s="1">
        <f>IFERROR(__xludf.DUMMYFUNCTION("""COMPUTED_VALUE"""),0.0)</f>
        <v>0</v>
      </c>
    </row>
    <row r="3672">
      <c r="A3672" s="1">
        <f>IFERROR(__xludf.DUMMYFUNCTION("""COMPUTED_VALUE"""),746103.0)</f>
        <v>746103</v>
      </c>
      <c r="B3672" s="2">
        <f>IFERROR(__xludf.DUMMYFUNCTION("""COMPUTED_VALUE"""),42752.15103019415)</f>
        <v>42752.15103</v>
      </c>
      <c r="C3672" s="1" t="str">
        <f>IFERROR(__xludf.DUMMYFUNCTION("""COMPUTED_VALUE"""),"treatment")</f>
        <v>treatment</v>
      </c>
      <c r="D3672" s="1" t="str">
        <f>IFERROR(__xludf.DUMMYFUNCTION("""COMPUTED_VALUE"""),"new_page")</f>
        <v>new_page</v>
      </c>
      <c r="E3672" s="1">
        <f>IFERROR(__xludf.DUMMYFUNCTION("""COMPUTED_VALUE"""),0.0)</f>
        <v>0</v>
      </c>
    </row>
    <row r="3673">
      <c r="A3673" s="1">
        <f>IFERROR(__xludf.DUMMYFUNCTION("""COMPUTED_VALUE"""),656210.0)</f>
        <v>656210</v>
      </c>
      <c r="B3673" s="2">
        <f>IFERROR(__xludf.DUMMYFUNCTION("""COMPUTED_VALUE"""),42757.30118314694)</f>
        <v>42757.30118</v>
      </c>
      <c r="C3673" s="1" t="str">
        <f>IFERROR(__xludf.DUMMYFUNCTION("""COMPUTED_VALUE"""),"treatment")</f>
        <v>treatment</v>
      </c>
      <c r="D3673" s="1" t="str">
        <f>IFERROR(__xludf.DUMMYFUNCTION("""COMPUTED_VALUE"""),"new_page")</f>
        <v>new_page</v>
      </c>
      <c r="E3673" s="1">
        <f>IFERROR(__xludf.DUMMYFUNCTION("""COMPUTED_VALUE"""),0.0)</f>
        <v>0</v>
      </c>
    </row>
    <row r="3674">
      <c r="A3674" s="1">
        <f>IFERROR(__xludf.DUMMYFUNCTION("""COMPUTED_VALUE"""),833747.0)</f>
        <v>833747</v>
      </c>
      <c r="B3674" s="2">
        <f>IFERROR(__xludf.DUMMYFUNCTION("""COMPUTED_VALUE"""),42753.31970795645)</f>
        <v>42753.31971</v>
      </c>
      <c r="C3674" s="1" t="str">
        <f>IFERROR(__xludf.DUMMYFUNCTION("""COMPUTED_VALUE"""),"control")</f>
        <v>control</v>
      </c>
      <c r="D3674" s="1" t="str">
        <f>IFERROR(__xludf.DUMMYFUNCTION("""COMPUTED_VALUE"""),"old_page")</f>
        <v>old_page</v>
      </c>
      <c r="E3674" s="1">
        <f>IFERROR(__xludf.DUMMYFUNCTION("""COMPUTED_VALUE"""),0.0)</f>
        <v>0</v>
      </c>
    </row>
    <row r="3675">
      <c r="A3675" s="1">
        <f>IFERROR(__xludf.DUMMYFUNCTION("""COMPUTED_VALUE"""),855563.0)</f>
        <v>855563</v>
      </c>
      <c r="B3675" s="2">
        <f>IFERROR(__xludf.DUMMYFUNCTION("""COMPUTED_VALUE"""),42759.46639656297)</f>
        <v>42759.4664</v>
      </c>
      <c r="C3675" s="1" t="str">
        <f>IFERROR(__xludf.DUMMYFUNCTION("""COMPUTED_VALUE"""),"control")</f>
        <v>control</v>
      </c>
      <c r="D3675" s="1" t="str">
        <f>IFERROR(__xludf.DUMMYFUNCTION("""COMPUTED_VALUE"""),"old_page")</f>
        <v>old_page</v>
      </c>
      <c r="E3675" s="1">
        <f>IFERROR(__xludf.DUMMYFUNCTION("""COMPUTED_VALUE"""),0.0)</f>
        <v>0</v>
      </c>
    </row>
    <row r="3676">
      <c r="A3676" s="1">
        <f>IFERROR(__xludf.DUMMYFUNCTION("""COMPUTED_VALUE"""),925422.0)</f>
        <v>925422</v>
      </c>
      <c r="B3676" s="2">
        <f>IFERROR(__xludf.DUMMYFUNCTION("""COMPUTED_VALUE"""),42747.98588739552)</f>
        <v>42747.98589</v>
      </c>
      <c r="C3676" s="1" t="str">
        <f>IFERROR(__xludf.DUMMYFUNCTION("""COMPUTED_VALUE"""),"control")</f>
        <v>control</v>
      </c>
      <c r="D3676" s="1" t="str">
        <f>IFERROR(__xludf.DUMMYFUNCTION("""COMPUTED_VALUE"""),"old_page")</f>
        <v>old_page</v>
      </c>
      <c r="E3676" s="1">
        <f>IFERROR(__xludf.DUMMYFUNCTION("""COMPUTED_VALUE"""),0.0)</f>
        <v>0</v>
      </c>
    </row>
    <row r="3677">
      <c r="A3677" s="1">
        <f>IFERROR(__xludf.DUMMYFUNCTION("""COMPUTED_VALUE"""),660636.0)</f>
        <v>660636</v>
      </c>
      <c r="B3677" s="2">
        <f>IFERROR(__xludf.DUMMYFUNCTION("""COMPUTED_VALUE"""),42751.904341657464)</f>
        <v>42751.90434</v>
      </c>
      <c r="C3677" s="1" t="str">
        <f>IFERROR(__xludf.DUMMYFUNCTION("""COMPUTED_VALUE"""),"control")</f>
        <v>control</v>
      </c>
      <c r="D3677" s="1" t="str">
        <f>IFERROR(__xludf.DUMMYFUNCTION("""COMPUTED_VALUE"""),"old_page")</f>
        <v>old_page</v>
      </c>
      <c r="E3677" s="1">
        <f>IFERROR(__xludf.DUMMYFUNCTION("""COMPUTED_VALUE"""),0.0)</f>
        <v>0</v>
      </c>
    </row>
    <row r="3678">
      <c r="A3678" s="1">
        <f>IFERROR(__xludf.DUMMYFUNCTION("""COMPUTED_VALUE"""),818068.0)</f>
        <v>818068</v>
      </c>
      <c r="B3678" s="2">
        <f>IFERROR(__xludf.DUMMYFUNCTION("""COMPUTED_VALUE"""),42751.98482074321)</f>
        <v>42751.98482</v>
      </c>
      <c r="C3678" s="1" t="str">
        <f>IFERROR(__xludf.DUMMYFUNCTION("""COMPUTED_VALUE"""),"control")</f>
        <v>control</v>
      </c>
      <c r="D3678" s="1" t="str">
        <f>IFERROR(__xludf.DUMMYFUNCTION("""COMPUTED_VALUE"""),"old_page")</f>
        <v>old_page</v>
      </c>
      <c r="E3678" s="1">
        <f>IFERROR(__xludf.DUMMYFUNCTION("""COMPUTED_VALUE"""),0.0)</f>
        <v>0</v>
      </c>
    </row>
    <row r="3679">
      <c r="A3679" s="1">
        <f>IFERROR(__xludf.DUMMYFUNCTION("""COMPUTED_VALUE"""),706426.0)</f>
        <v>706426</v>
      </c>
      <c r="B3679" s="2">
        <f>IFERROR(__xludf.DUMMYFUNCTION("""COMPUTED_VALUE"""),42747.195413673195)</f>
        <v>42747.19541</v>
      </c>
      <c r="C3679" s="1" t="str">
        <f>IFERROR(__xludf.DUMMYFUNCTION("""COMPUTED_VALUE"""),"treatment")</f>
        <v>treatment</v>
      </c>
      <c r="D3679" s="1" t="str">
        <f>IFERROR(__xludf.DUMMYFUNCTION("""COMPUTED_VALUE"""),"new_page")</f>
        <v>new_page</v>
      </c>
      <c r="E3679" s="1">
        <f>IFERROR(__xludf.DUMMYFUNCTION("""COMPUTED_VALUE"""),0.0)</f>
        <v>0</v>
      </c>
    </row>
    <row r="3680">
      <c r="A3680" s="1">
        <f>IFERROR(__xludf.DUMMYFUNCTION("""COMPUTED_VALUE"""),774971.0)</f>
        <v>774971</v>
      </c>
      <c r="B3680" s="2">
        <f>IFERROR(__xludf.DUMMYFUNCTION("""COMPUTED_VALUE"""),42748.394740724594)</f>
        <v>42748.39474</v>
      </c>
      <c r="C3680" s="1" t="str">
        <f>IFERROR(__xludf.DUMMYFUNCTION("""COMPUTED_VALUE"""),"treatment")</f>
        <v>treatment</v>
      </c>
      <c r="D3680" s="1" t="str">
        <f>IFERROR(__xludf.DUMMYFUNCTION("""COMPUTED_VALUE"""),"new_page")</f>
        <v>new_page</v>
      </c>
      <c r="E3680" s="1">
        <f>IFERROR(__xludf.DUMMYFUNCTION("""COMPUTED_VALUE"""),0.0)</f>
        <v>0</v>
      </c>
    </row>
    <row r="3681">
      <c r="A3681" s="1">
        <f>IFERROR(__xludf.DUMMYFUNCTION("""COMPUTED_VALUE"""),704335.0)</f>
        <v>704335</v>
      </c>
      <c r="B3681" s="2">
        <f>IFERROR(__xludf.DUMMYFUNCTION("""COMPUTED_VALUE"""),42744.408177003555)</f>
        <v>42744.40818</v>
      </c>
      <c r="C3681" s="1" t="str">
        <f>IFERROR(__xludf.DUMMYFUNCTION("""COMPUTED_VALUE"""),"control")</f>
        <v>control</v>
      </c>
      <c r="D3681" s="1" t="str">
        <f>IFERROR(__xludf.DUMMYFUNCTION("""COMPUTED_VALUE"""),"old_page")</f>
        <v>old_page</v>
      </c>
      <c r="E3681" s="1">
        <f>IFERROR(__xludf.DUMMYFUNCTION("""COMPUTED_VALUE"""),0.0)</f>
        <v>0</v>
      </c>
    </row>
    <row r="3682">
      <c r="A3682" s="1">
        <f>IFERROR(__xludf.DUMMYFUNCTION("""COMPUTED_VALUE"""),664318.0)</f>
        <v>664318</v>
      </c>
      <c r="B3682" s="2">
        <f>IFERROR(__xludf.DUMMYFUNCTION("""COMPUTED_VALUE"""),42747.93497572818)</f>
        <v>42747.93498</v>
      </c>
      <c r="C3682" s="1" t="str">
        <f>IFERROR(__xludf.DUMMYFUNCTION("""COMPUTED_VALUE"""),"treatment")</f>
        <v>treatment</v>
      </c>
      <c r="D3682" s="1" t="str">
        <f>IFERROR(__xludf.DUMMYFUNCTION("""COMPUTED_VALUE"""),"new_page")</f>
        <v>new_page</v>
      </c>
      <c r="E3682" s="1">
        <f>IFERROR(__xludf.DUMMYFUNCTION("""COMPUTED_VALUE"""),0.0)</f>
        <v>0</v>
      </c>
    </row>
    <row r="3683">
      <c r="A3683" s="1">
        <f>IFERROR(__xludf.DUMMYFUNCTION("""COMPUTED_VALUE"""),776225.0)</f>
        <v>776225</v>
      </c>
      <c r="B3683" s="2">
        <f>IFERROR(__xludf.DUMMYFUNCTION("""COMPUTED_VALUE"""),42743.60578510544)</f>
        <v>42743.60579</v>
      </c>
      <c r="C3683" s="1" t="str">
        <f>IFERROR(__xludf.DUMMYFUNCTION("""COMPUTED_VALUE"""),"treatment")</f>
        <v>treatment</v>
      </c>
      <c r="D3683" s="1" t="str">
        <f>IFERROR(__xludf.DUMMYFUNCTION("""COMPUTED_VALUE"""),"new_page")</f>
        <v>new_page</v>
      </c>
      <c r="E3683" s="1">
        <f>IFERROR(__xludf.DUMMYFUNCTION("""COMPUTED_VALUE"""),0.0)</f>
        <v>0</v>
      </c>
    </row>
    <row r="3684">
      <c r="A3684" s="1">
        <f>IFERROR(__xludf.DUMMYFUNCTION("""COMPUTED_VALUE"""),827808.0)</f>
        <v>827808</v>
      </c>
      <c r="B3684" s="2">
        <f>IFERROR(__xludf.DUMMYFUNCTION("""COMPUTED_VALUE"""),42748.56478430882)</f>
        <v>42748.56478</v>
      </c>
      <c r="C3684" s="1" t="str">
        <f>IFERROR(__xludf.DUMMYFUNCTION("""COMPUTED_VALUE"""),"treatment")</f>
        <v>treatment</v>
      </c>
      <c r="D3684" s="1" t="str">
        <f>IFERROR(__xludf.DUMMYFUNCTION("""COMPUTED_VALUE"""),"new_page")</f>
        <v>new_page</v>
      </c>
      <c r="E3684" s="1">
        <f>IFERROR(__xludf.DUMMYFUNCTION("""COMPUTED_VALUE"""),0.0)</f>
        <v>0</v>
      </c>
    </row>
    <row r="3685">
      <c r="A3685" s="1">
        <f>IFERROR(__xludf.DUMMYFUNCTION("""COMPUTED_VALUE"""),928219.0)</f>
        <v>928219</v>
      </c>
      <c r="B3685" s="2">
        <f>IFERROR(__xludf.DUMMYFUNCTION("""COMPUTED_VALUE"""),42758.7380421395)</f>
        <v>42758.73804</v>
      </c>
      <c r="C3685" s="1" t="str">
        <f>IFERROR(__xludf.DUMMYFUNCTION("""COMPUTED_VALUE"""),"treatment")</f>
        <v>treatment</v>
      </c>
      <c r="D3685" s="1" t="str">
        <f>IFERROR(__xludf.DUMMYFUNCTION("""COMPUTED_VALUE"""),"new_page")</f>
        <v>new_page</v>
      </c>
      <c r="E3685" s="1">
        <f>IFERROR(__xludf.DUMMYFUNCTION("""COMPUTED_VALUE"""),1.0)</f>
        <v>1</v>
      </c>
    </row>
    <row r="3686">
      <c r="A3686" s="1">
        <f>IFERROR(__xludf.DUMMYFUNCTION("""COMPUTED_VALUE"""),640405.0)</f>
        <v>640405</v>
      </c>
      <c r="B3686" s="2">
        <f>IFERROR(__xludf.DUMMYFUNCTION("""COMPUTED_VALUE"""),42739.42435601915)</f>
        <v>42739.42436</v>
      </c>
      <c r="C3686" s="1" t="str">
        <f>IFERROR(__xludf.DUMMYFUNCTION("""COMPUTED_VALUE"""),"treatment")</f>
        <v>treatment</v>
      </c>
      <c r="D3686" s="1" t="str">
        <f>IFERROR(__xludf.DUMMYFUNCTION("""COMPUTED_VALUE"""),"new_page")</f>
        <v>new_page</v>
      </c>
      <c r="E3686" s="1">
        <f>IFERROR(__xludf.DUMMYFUNCTION("""COMPUTED_VALUE"""),0.0)</f>
        <v>0</v>
      </c>
    </row>
    <row r="3687">
      <c r="A3687" s="1">
        <f>IFERROR(__xludf.DUMMYFUNCTION("""COMPUTED_VALUE"""),861054.0)</f>
        <v>861054</v>
      </c>
      <c r="B3687" s="2">
        <f>IFERROR(__xludf.DUMMYFUNCTION("""COMPUTED_VALUE"""),42743.0382481624)</f>
        <v>42743.03825</v>
      </c>
      <c r="C3687" s="1" t="str">
        <f>IFERROR(__xludf.DUMMYFUNCTION("""COMPUTED_VALUE"""),"treatment")</f>
        <v>treatment</v>
      </c>
      <c r="D3687" s="1" t="str">
        <f>IFERROR(__xludf.DUMMYFUNCTION("""COMPUTED_VALUE"""),"new_page")</f>
        <v>new_page</v>
      </c>
      <c r="E3687" s="1">
        <f>IFERROR(__xludf.DUMMYFUNCTION("""COMPUTED_VALUE"""),0.0)</f>
        <v>0</v>
      </c>
    </row>
    <row r="3688">
      <c r="A3688" s="1">
        <f>IFERROR(__xludf.DUMMYFUNCTION("""COMPUTED_VALUE"""),677267.0)</f>
        <v>677267</v>
      </c>
      <c r="B3688" s="2">
        <f>IFERROR(__xludf.DUMMYFUNCTION("""COMPUTED_VALUE"""),42738.93611417135)</f>
        <v>42738.93611</v>
      </c>
      <c r="C3688" s="1" t="str">
        <f>IFERROR(__xludf.DUMMYFUNCTION("""COMPUTED_VALUE"""),"control")</f>
        <v>control</v>
      </c>
      <c r="D3688" s="1" t="str">
        <f>IFERROR(__xludf.DUMMYFUNCTION("""COMPUTED_VALUE"""),"old_page")</f>
        <v>old_page</v>
      </c>
      <c r="E3688" s="1">
        <f>IFERROR(__xludf.DUMMYFUNCTION("""COMPUTED_VALUE"""),0.0)</f>
        <v>0</v>
      </c>
    </row>
    <row r="3689">
      <c r="A3689" s="1">
        <f>IFERROR(__xludf.DUMMYFUNCTION("""COMPUTED_VALUE"""),922347.0)</f>
        <v>922347</v>
      </c>
      <c r="B3689" s="2">
        <f>IFERROR(__xludf.DUMMYFUNCTION("""COMPUTED_VALUE"""),42740.079766756666)</f>
        <v>42740.07977</v>
      </c>
      <c r="C3689" s="1" t="str">
        <f>IFERROR(__xludf.DUMMYFUNCTION("""COMPUTED_VALUE"""),"treatment")</f>
        <v>treatment</v>
      </c>
      <c r="D3689" s="1" t="str">
        <f>IFERROR(__xludf.DUMMYFUNCTION("""COMPUTED_VALUE"""),"new_page")</f>
        <v>new_page</v>
      </c>
      <c r="E3689" s="1">
        <f>IFERROR(__xludf.DUMMYFUNCTION("""COMPUTED_VALUE"""),0.0)</f>
        <v>0</v>
      </c>
    </row>
    <row r="3690">
      <c r="A3690" s="1">
        <f>IFERROR(__xludf.DUMMYFUNCTION("""COMPUTED_VALUE"""),633341.0)</f>
        <v>633341</v>
      </c>
      <c r="B3690" s="2">
        <f>IFERROR(__xludf.DUMMYFUNCTION("""COMPUTED_VALUE"""),42757.99654502936)</f>
        <v>42757.99655</v>
      </c>
      <c r="C3690" s="1" t="str">
        <f>IFERROR(__xludf.DUMMYFUNCTION("""COMPUTED_VALUE"""),"treatment")</f>
        <v>treatment</v>
      </c>
      <c r="D3690" s="1" t="str">
        <f>IFERROR(__xludf.DUMMYFUNCTION("""COMPUTED_VALUE"""),"new_page")</f>
        <v>new_page</v>
      </c>
      <c r="E3690" s="1">
        <f>IFERROR(__xludf.DUMMYFUNCTION("""COMPUTED_VALUE"""),0.0)</f>
        <v>0</v>
      </c>
    </row>
    <row r="3691">
      <c r="A3691" s="1">
        <f>IFERROR(__xludf.DUMMYFUNCTION("""COMPUTED_VALUE"""),878413.0)</f>
        <v>878413</v>
      </c>
      <c r="B3691" s="2">
        <f>IFERROR(__xludf.DUMMYFUNCTION("""COMPUTED_VALUE"""),42738.57035983939)</f>
        <v>42738.57036</v>
      </c>
      <c r="C3691" s="1" t="str">
        <f>IFERROR(__xludf.DUMMYFUNCTION("""COMPUTED_VALUE"""),"treatment")</f>
        <v>treatment</v>
      </c>
      <c r="D3691" s="1" t="str">
        <f>IFERROR(__xludf.DUMMYFUNCTION("""COMPUTED_VALUE"""),"old_page")</f>
        <v>old_page</v>
      </c>
      <c r="E3691" s="1">
        <f>IFERROR(__xludf.DUMMYFUNCTION("""COMPUTED_VALUE"""),0.0)</f>
        <v>0</v>
      </c>
    </row>
    <row r="3692">
      <c r="A3692" s="1">
        <f>IFERROR(__xludf.DUMMYFUNCTION("""COMPUTED_VALUE"""),778399.0)</f>
        <v>778399</v>
      </c>
      <c r="B3692" s="2">
        <f>IFERROR(__xludf.DUMMYFUNCTION("""COMPUTED_VALUE"""),42751.55155923431)</f>
        <v>42751.55156</v>
      </c>
      <c r="C3692" s="1" t="str">
        <f>IFERROR(__xludf.DUMMYFUNCTION("""COMPUTED_VALUE"""),"treatment")</f>
        <v>treatment</v>
      </c>
      <c r="D3692" s="1" t="str">
        <f>IFERROR(__xludf.DUMMYFUNCTION("""COMPUTED_VALUE"""),"new_page")</f>
        <v>new_page</v>
      </c>
      <c r="E3692" s="1">
        <f>IFERROR(__xludf.DUMMYFUNCTION("""COMPUTED_VALUE"""),0.0)</f>
        <v>0</v>
      </c>
    </row>
    <row r="3693">
      <c r="A3693" s="1">
        <f>IFERROR(__xludf.DUMMYFUNCTION("""COMPUTED_VALUE"""),751125.0)</f>
        <v>751125</v>
      </c>
      <c r="B3693" s="2">
        <f>IFERROR(__xludf.DUMMYFUNCTION("""COMPUTED_VALUE"""),42756.23127220909)</f>
        <v>42756.23127</v>
      </c>
      <c r="C3693" s="1" t="str">
        <f>IFERROR(__xludf.DUMMYFUNCTION("""COMPUTED_VALUE"""),"treatment")</f>
        <v>treatment</v>
      </c>
      <c r="D3693" s="1" t="str">
        <f>IFERROR(__xludf.DUMMYFUNCTION("""COMPUTED_VALUE"""),"new_page")</f>
        <v>new_page</v>
      </c>
      <c r="E3693" s="1">
        <f>IFERROR(__xludf.DUMMYFUNCTION("""COMPUTED_VALUE"""),0.0)</f>
        <v>0</v>
      </c>
    </row>
    <row r="3694">
      <c r="A3694" s="1">
        <f>IFERROR(__xludf.DUMMYFUNCTION("""COMPUTED_VALUE"""),821104.0)</f>
        <v>821104</v>
      </c>
      <c r="B3694" s="2">
        <f>IFERROR(__xludf.DUMMYFUNCTION("""COMPUTED_VALUE"""),42742.307631930926)</f>
        <v>42742.30763</v>
      </c>
      <c r="C3694" s="1" t="str">
        <f>IFERROR(__xludf.DUMMYFUNCTION("""COMPUTED_VALUE"""),"control")</f>
        <v>control</v>
      </c>
      <c r="D3694" s="1" t="str">
        <f>IFERROR(__xludf.DUMMYFUNCTION("""COMPUTED_VALUE"""),"old_page")</f>
        <v>old_page</v>
      </c>
      <c r="E3694" s="1">
        <f>IFERROR(__xludf.DUMMYFUNCTION("""COMPUTED_VALUE"""),1.0)</f>
        <v>1</v>
      </c>
    </row>
    <row r="3695">
      <c r="A3695" s="1">
        <f>IFERROR(__xludf.DUMMYFUNCTION("""COMPUTED_VALUE"""),691865.0)</f>
        <v>691865</v>
      </c>
      <c r="B3695" s="2">
        <f>IFERROR(__xludf.DUMMYFUNCTION("""COMPUTED_VALUE"""),42745.39072601859)</f>
        <v>42745.39073</v>
      </c>
      <c r="C3695" s="1" t="str">
        <f>IFERROR(__xludf.DUMMYFUNCTION("""COMPUTED_VALUE"""),"control")</f>
        <v>control</v>
      </c>
      <c r="D3695" s="1" t="str">
        <f>IFERROR(__xludf.DUMMYFUNCTION("""COMPUTED_VALUE"""),"old_page")</f>
        <v>old_page</v>
      </c>
      <c r="E3695" s="1">
        <f>IFERROR(__xludf.DUMMYFUNCTION("""COMPUTED_VALUE"""),0.0)</f>
        <v>0</v>
      </c>
    </row>
    <row r="3696">
      <c r="A3696" s="1">
        <f>IFERROR(__xludf.DUMMYFUNCTION("""COMPUTED_VALUE"""),860820.0)</f>
        <v>860820</v>
      </c>
      <c r="B3696" s="2">
        <f>IFERROR(__xludf.DUMMYFUNCTION("""COMPUTED_VALUE"""),42741.513837863655)</f>
        <v>42741.51384</v>
      </c>
      <c r="C3696" s="1" t="str">
        <f>IFERROR(__xludf.DUMMYFUNCTION("""COMPUTED_VALUE"""),"control")</f>
        <v>control</v>
      </c>
      <c r="D3696" s="1" t="str">
        <f>IFERROR(__xludf.DUMMYFUNCTION("""COMPUTED_VALUE"""),"old_page")</f>
        <v>old_page</v>
      </c>
      <c r="E3696" s="1">
        <f>IFERROR(__xludf.DUMMYFUNCTION("""COMPUTED_VALUE"""),0.0)</f>
        <v>0</v>
      </c>
    </row>
    <row r="3697">
      <c r="A3697" s="1">
        <f>IFERROR(__xludf.DUMMYFUNCTION("""COMPUTED_VALUE"""),631531.0)</f>
        <v>631531</v>
      </c>
      <c r="B3697" s="2">
        <f>IFERROR(__xludf.DUMMYFUNCTION("""COMPUTED_VALUE"""),42750.19365301078)</f>
        <v>42750.19365</v>
      </c>
      <c r="C3697" s="1" t="str">
        <f>IFERROR(__xludf.DUMMYFUNCTION("""COMPUTED_VALUE"""),"control")</f>
        <v>control</v>
      </c>
      <c r="D3697" s="1" t="str">
        <f>IFERROR(__xludf.DUMMYFUNCTION("""COMPUTED_VALUE"""),"old_page")</f>
        <v>old_page</v>
      </c>
      <c r="E3697" s="1">
        <f>IFERROR(__xludf.DUMMYFUNCTION("""COMPUTED_VALUE"""),0.0)</f>
        <v>0</v>
      </c>
    </row>
    <row r="3698">
      <c r="A3698" s="1">
        <f>IFERROR(__xludf.DUMMYFUNCTION("""COMPUTED_VALUE"""),865450.0)</f>
        <v>865450</v>
      </c>
      <c r="B3698" s="2">
        <f>IFERROR(__xludf.DUMMYFUNCTION("""COMPUTED_VALUE"""),42754.29445137535)</f>
        <v>42754.29445</v>
      </c>
      <c r="C3698" s="1" t="str">
        <f>IFERROR(__xludf.DUMMYFUNCTION("""COMPUTED_VALUE"""),"control")</f>
        <v>control</v>
      </c>
      <c r="D3698" s="1" t="str">
        <f>IFERROR(__xludf.DUMMYFUNCTION("""COMPUTED_VALUE"""),"old_page")</f>
        <v>old_page</v>
      </c>
      <c r="E3698" s="1">
        <f>IFERROR(__xludf.DUMMYFUNCTION("""COMPUTED_VALUE"""),0.0)</f>
        <v>0</v>
      </c>
    </row>
    <row r="3699">
      <c r="A3699" s="1">
        <f>IFERROR(__xludf.DUMMYFUNCTION("""COMPUTED_VALUE"""),909276.0)</f>
        <v>909276</v>
      </c>
      <c r="B3699" s="2">
        <f>IFERROR(__xludf.DUMMYFUNCTION("""COMPUTED_VALUE"""),42739.491115156656)</f>
        <v>42739.49112</v>
      </c>
      <c r="C3699" s="1" t="str">
        <f>IFERROR(__xludf.DUMMYFUNCTION("""COMPUTED_VALUE"""),"treatment")</f>
        <v>treatment</v>
      </c>
      <c r="D3699" s="1" t="str">
        <f>IFERROR(__xludf.DUMMYFUNCTION("""COMPUTED_VALUE"""),"new_page")</f>
        <v>new_page</v>
      </c>
      <c r="E3699" s="1">
        <f>IFERROR(__xludf.DUMMYFUNCTION("""COMPUTED_VALUE"""),0.0)</f>
        <v>0</v>
      </c>
    </row>
    <row r="3700">
      <c r="A3700" s="1">
        <f>IFERROR(__xludf.DUMMYFUNCTION("""COMPUTED_VALUE"""),696782.0)</f>
        <v>696782</v>
      </c>
      <c r="B3700" s="2">
        <f>IFERROR(__xludf.DUMMYFUNCTION("""COMPUTED_VALUE"""),42738.361044851554)</f>
        <v>42738.36104</v>
      </c>
      <c r="C3700" s="1" t="str">
        <f>IFERROR(__xludf.DUMMYFUNCTION("""COMPUTED_VALUE"""),"treatment")</f>
        <v>treatment</v>
      </c>
      <c r="D3700" s="1" t="str">
        <f>IFERROR(__xludf.DUMMYFUNCTION("""COMPUTED_VALUE"""),"new_page")</f>
        <v>new_page</v>
      </c>
      <c r="E3700" s="1">
        <f>IFERROR(__xludf.DUMMYFUNCTION("""COMPUTED_VALUE"""),0.0)</f>
        <v>0</v>
      </c>
    </row>
    <row r="3701">
      <c r="A3701" s="1">
        <f>IFERROR(__xludf.DUMMYFUNCTION("""COMPUTED_VALUE"""),849672.0)</f>
        <v>849672</v>
      </c>
      <c r="B3701" s="2">
        <f>IFERROR(__xludf.DUMMYFUNCTION("""COMPUTED_VALUE"""),42745.103909097445)</f>
        <v>42745.10391</v>
      </c>
      <c r="C3701" s="1" t="str">
        <f>IFERROR(__xludf.DUMMYFUNCTION("""COMPUTED_VALUE"""),"treatment")</f>
        <v>treatment</v>
      </c>
      <c r="D3701" s="1" t="str">
        <f>IFERROR(__xludf.DUMMYFUNCTION("""COMPUTED_VALUE"""),"new_page")</f>
        <v>new_page</v>
      </c>
      <c r="E3701" s="1">
        <f>IFERROR(__xludf.DUMMYFUNCTION("""COMPUTED_VALUE"""),0.0)</f>
        <v>0</v>
      </c>
    </row>
    <row r="3702">
      <c r="A3702" s="1">
        <f>IFERROR(__xludf.DUMMYFUNCTION("""COMPUTED_VALUE"""),904323.0)</f>
        <v>904323</v>
      </c>
      <c r="B3702" s="2">
        <f>IFERROR(__xludf.DUMMYFUNCTION("""COMPUTED_VALUE"""),42740.452819019054)</f>
        <v>42740.45282</v>
      </c>
      <c r="C3702" s="1" t="str">
        <f>IFERROR(__xludf.DUMMYFUNCTION("""COMPUTED_VALUE"""),"control")</f>
        <v>control</v>
      </c>
      <c r="D3702" s="1" t="str">
        <f>IFERROR(__xludf.DUMMYFUNCTION("""COMPUTED_VALUE"""),"old_page")</f>
        <v>old_page</v>
      </c>
      <c r="E3702" s="1">
        <f>IFERROR(__xludf.DUMMYFUNCTION("""COMPUTED_VALUE"""),0.0)</f>
        <v>0</v>
      </c>
    </row>
    <row r="3703">
      <c r="A3703" s="1">
        <f>IFERROR(__xludf.DUMMYFUNCTION("""COMPUTED_VALUE"""),819319.0)</f>
        <v>819319</v>
      </c>
      <c r="B3703" s="2">
        <f>IFERROR(__xludf.DUMMYFUNCTION("""COMPUTED_VALUE"""),42750.474905160394)</f>
        <v>42750.47491</v>
      </c>
      <c r="C3703" s="1" t="str">
        <f>IFERROR(__xludf.DUMMYFUNCTION("""COMPUTED_VALUE"""),"treatment")</f>
        <v>treatment</v>
      </c>
      <c r="D3703" s="1" t="str">
        <f>IFERROR(__xludf.DUMMYFUNCTION("""COMPUTED_VALUE"""),"new_page")</f>
        <v>new_page</v>
      </c>
      <c r="E3703" s="1">
        <f>IFERROR(__xludf.DUMMYFUNCTION("""COMPUTED_VALUE"""),0.0)</f>
        <v>0</v>
      </c>
    </row>
    <row r="3704">
      <c r="A3704" s="1">
        <f>IFERROR(__xludf.DUMMYFUNCTION("""COMPUTED_VALUE"""),659462.0)</f>
        <v>659462</v>
      </c>
      <c r="B3704" s="2">
        <f>IFERROR(__xludf.DUMMYFUNCTION("""COMPUTED_VALUE"""),42750.66527479529)</f>
        <v>42750.66527</v>
      </c>
      <c r="C3704" s="1" t="str">
        <f>IFERROR(__xludf.DUMMYFUNCTION("""COMPUTED_VALUE"""),"treatment")</f>
        <v>treatment</v>
      </c>
      <c r="D3704" s="1" t="str">
        <f>IFERROR(__xludf.DUMMYFUNCTION("""COMPUTED_VALUE"""),"new_page")</f>
        <v>new_page</v>
      </c>
      <c r="E3704" s="1">
        <f>IFERROR(__xludf.DUMMYFUNCTION("""COMPUTED_VALUE"""),0.0)</f>
        <v>0</v>
      </c>
    </row>
    <row r="3705">
      <c r="A3705" s="1">
        <f>IFERROR(__xludf.DUMMYFUNCTION("""COMPUTED_VALUE"""),928275.0)</f>
        <v>928275</v>
      </c>
      <c r="B3705" s="2">
        <f>IFERROR(__xludf.DUMMYFUNCTION("""COMPUTED_VALUE"""),42740.630395296204)</f>
        <v>42740.6304</v>
      </c>
      <c r="C3705" s="1" t="str">
        <f>IFERROR(__xludf.DUMMYFUNCTION("""COMPUTED_VALUE"""),"treatment")</f>
        <v>treatment</v>
      </c>
      <c r="D3705" s="1" t="str">
        <f>IFERROR(__xludf.DUMMYFUNCTION("""COMPUTED_VALUE"""),"new_page")</f>
        <v>new_page</v>
      </c>
      <c r="E3705" s="1">
        <f>IFERROR(__xludf.DUMMYFUNCTION("""COMPUTED_VALUE"""),0.0)</f>
        <v>0</v>
      </c>
    </row>
    <row r="3706">
      <c r="A3706" s="1">
        <f>IFERROR(__xludf.DUMMYFUNCTION("""COMPUTED_VALUE"""),726758.0)</f>
        <v>726758</v>
      </c>
      <c r="B3706" s="2">
        <f>IFERROR(__xludf.DUMMYFUNCTION("""COMPUTED_VALUE"""),42752.4920117894)</f>
        <v>42752.49201</v>
      </c>
      <c r="C3706" s="1" t="str">
        <f>IFERROR(__xludf.DUMMYFUNCTION("""COMPUTED_VALUE"""),"control")</f>
        <v>control</v>
      </c>
      <c r="D3706" s="1" t="str">
        <f>IFERROR(__xludf.DUMMYFUNCTION("""COMPUTED_VALUE"""),"old_page")</f>
        <v>old_page</v>
      </c>
      <c r="E3706" s="1">
        <f>IFERROR(__xludf.DUMMYFUNCTION("""COMPUTED_VALUE"""),0.0)</f>
        <v>0</v>
      </c>
    </row>
    <row r="3707">
      <c r="A3707" s="1">
        <f>IFERROR(__xludf.DUMMYFUNCTION("""COMPUTED_VALUE"""),907789.0)</f>
        <v>907789</v>
      </c>
      <c r="B3707" s="2">
        <f>IFERROR(__xludf.DUMMYFUNCTION("""COMPUTED_VALUE"""),42753.80919637987)</f>
        <v>42753.8092</v>
      </c>
      <c r="C3707" s="1" t="str">
        <f>IFERROR(__xludf.DUMMYFUNCTION("""COMPUTED_VALUE"""),"treatment")</f>
        <v>treatment</v>
      </c>
      <c r="D3707" s="1" t="str">
        <f>IFERROR(__xludf.DUMMYFUNCTION("""COMPUTED_VALUE"""),"new_page")</f>
        <v>new_page</v>
      </c>
      <c r="E3707" s="1">
        <f>IFERROR(__xludf.DUMMYFUNCTION("""COMPUTED_VALUE"""),0.0)</f>
        <v>0</v>
      </c>
    </row>
    <row r="3708">
      <c r="A3708" s="1">
        <f>IFERROR(__xludf.DUMMYFUNCTION("""COMPUTED_VALUE"""),701372.0)</f>
        <v>701372</v>
      </c>
      <c r="B3708" s="2">
        <f>IFERROR(__xludf.DUMMYFUNCTION("""COMPUTED_VALUE"""),42744.65056638017)</f>
        <v>42744.65057</v>
      </c>
      <c r="C3708" s="1" t="str">
        <f>IFERROR(__xludf.DUMMYFUNCTION("""COMPUTED_VALUE"""),"control")</f>
        <v>control</v>
      </c>
      <c r="D3708" s="1" t="str">
        <f>IFERROR(__xludf.DUMMYFUNCTION("""COMPUTED_VALUE"""),"old_page")</f>
        <v>old_page</v>
      </c>
      <c r="E3708" s="1">
        <f>IFERROR(__xludf.DUMMYFUNCTION("""COMPUTED_VALUE"""),1.0)</f>
        <v>1</v>
      </c>
    </row>
    <row r="3709">
      <c r="A3709" s="1">
        <f>IFERROR(__xludf.DUMMYFUNCTION("""COMPUTED_VALUE"""),929917.0)</f>
        <v>929917</v>
      </c>
      <c r="B3709" s="2">
        <f>IFERROR(__xludf.DUMMYFUNCTION("""COMPUTED_VALUE"""),42748.43487305633)</f>
        <v>42748.43487</v>
      </c>
      <c r="C3709" s="1" t="str">
        <f>IFERROR(__xludf.DUMMYFUNCTION("""COMPUTED_VALUE"""),"treatment")</f>
        <v>treatment</v>
      </c>
      <c r="D3709" s="1" t="str">
        <f>IFERROR(__xludf.DUMMYFUNCTION("""COMPUTED_VALUE"""),"new_page")</f>
        <v>new_page</v>
      </c>
      <c r="E3709" s="1">
        <f>IFERROR(__xludf.DUMMYFUNCTION("""COMPUTED_VALUE"""),0.0)</f>
        <v>0</v>
      </c>
    </row>
    <row r="3710">
      <c r="A3710" s="1">
        <f>IFERROR(__xludf.DUMMYFUNCTION("""COMPUTED_VALUE"""),811828.0)</f>
        <v>811828</v>
      </c>
      <c r="B3710" s="2">
        <f>IFERROR(__xludf.DUMMYFUNCTION("""COMPUTED_VALUE"""),42745.08994084999)</f>
        <v>42745.08994</v>
      </c>
      <c r="C3710" s="1" t="str">
        <f>IFERROR(__xludf.DUMMYFUNCTION("""COMPUTED_VALUE"""),"control")</f>
        <v>control</v>
      </c>
      <c r="D3710" s="1" t="str">
        <f>IFERROR(__xludf.DUMMYFUNCTION("""COMPUTED_VALUE"""),"old_page")</f>
        <v>old_page</v>
      </c>
      <c r="E3710" s="1">
        <f>IFERROR(__xludf.DUMMYFUNCTION("""COMPUTED_VALUE"""),0.0)</f>
        <v>0</v>
      </c>
    </row>
    <row r="3711">
      <c r="A3711" s="1">
        <f>IFERROR(__xludf.DUMMYFUNCTION("""COMPUTED_VALUE"""),869871.0)</f>
        <v>869871</v>
      </c>
      <c r="B3711" s="2">
        <f>IFERROR(__xludf.DUMMYFUNCTION("""COMPUTED_VALUE"""),42752.05000749818)</f>
        <v>42752.05001</v>
      </c>
      <c r="C3711" s="1" t="str">
        <f>IFERROR(__xludf.DUMMYFUNCTION("""COMPUTED_VALUE"""),"control")</f>
        <v>control</v>
      </c>
      <c r="D3711" s="1" t="str">
        <f>IFERROR(__xludf.DUMMYFUNCTION("""COMPUTED_VALUE"""),"old_page")</f>
        <v>old_page</v>
      </c>
      <c r="E3711" s="1">
        <f>IFERROR(__xludf.DUMMYFUNCTION("""COMPUTED_VALUE"""),0.0)</f>
        <v>0</v>
      </c>
    </row>
    <row r="3712">
      <c r="A3712" s="1">
        <f>IFERROR(__xludf.DUMMYFUNCTION("""COMPUTED_VALUE"""),869232.0)</f>
        <v>869232</v>
      </c>
      <c r="B3712" s="2">
        <f>IFERROR(__xludf.DUMMYFUNCTION("""COMPUTED_VALUE"""),42737.57907359392)</f>
        <v>42737.57907</v>
      </c>
      <c r="C3712" s="1" t="str">
        <f>IFERROR(__xludf.DUMMYFUNCTION("""COMPUTED_VALUE"""),"treatment")</f>
        <v>treatment</v>
      </c>
      <c r="D3712" s="1" t="str">
        <f>IFERROR(__xludf.DUMMYFUNCTION("""COMPUTED_VALUE"""),"new_page")</f>
        <v>new_page</v>
      </c>
      <c r="E3712" s="1">
        <f>IFERROR(__xludf.DUMMYFUNCTION("""COMPUTED_VALUE"""),0.0)</f>
        <v>0</v>
      </c>
    </row>
    <row r="3713">
      <c r="A3713" s="1">
        <f>IFERROR(__xludf.DUMMYFUNCTION("""COMPUTED_VALUE"""),940848.0)</f>
        <v>940848</v>
      </c>
      <c r="B3713" s="2">
        <f>IFERROR(__xludf.DUMMYFUNCTION("""COMPUTED_VALUE"""),42752.800161509665)</f>
        <v>42752.80016</v>
      </c>
      <c r="C3713" s="1" t="str">
        <f>IFERROR(__xludf.DUMMYFUNCTION("""COMPUTED_VALUE"""),"treatment")</f>
        <v>treatment</v>
      </c>
      <c r="D3713" s="1" t="str">
        <f>IFERROR(__xludf.DUMMYFUNCTION("""COMPUTED_VALUE"""),"new_page")</f>
        <v>new_page</v>
      </c>
      <c r="E3713" s="1">
        <f>IFERROR(__xludf.DUMMYFUNCTION("""COMPUTED_VALUE"""),0.0)</f>
        <v>0</v>
      </c>
    </row>
    <row r="3714">
      <c r="A3714" s="1">
        <f>IFERROR(__xludf.DUMMYFUNCTION("""COMPUTED_VALUE"""),762318.0)</f>
        <v>762318</v>
      </c>
      <c r="B3714" s="2">
        <f>IFERROR(__xludf.DUMMYFUNCTION("""COMPUTED_VALUE"""),42741.15236480258)</f>
        <v>42741.15236</v>
      </c>
      <c r="C3714" s="1" t="str">
        <f>IFERROR(__xludf.DUMMYFUNCTION("""COMPUTED_VALUE"""),"treatment")</f>
        <v>treatment</v>
      </c>
      <c r="D3714" s="1" t="str">
        <f>IFERROR(__xludf.DUMMYFUNCTION("""COMPUTED_VALUE"""),"new_page")</f>
        <v>new_page</v>
      </c>
      <c r="E3714" s="1">
        <f>IFERROR(__xludf.DUMMYFUNCTION("""COMPUTED_VALUE"""),0.0)</f>
        <v>0</v>
      </c>
    </row>
    <row r="3715">
      <c r="A3715" s="1">
        <f>IFERROR(__xludf.DUMMYFUNCTION("""COMPUTED_VALUE"""),857829.0)</f>
        <v>857829</v>
      </c>
      <c r="B3715" s="2">
        <f>IFERROR(__xludf.DUMMYFUNCTION("""COMPUTED_VALUE"""),42739.14671738865)</f>
        <v>42739.14672</v>
      </c>
      <c r="C3715" s="1" t="str">
        <f>IFERROR(__xludf.DUMMYFUNCTION("""COMPUTED_VALUE"""),"control")</f>
        <v>control</v>
      </c>
      <c r="D3715" s="1" t="str">
        <f>IFERROR(__xludf.DUMMYFUNCTION("""COMPUTED_VALUE"""),"old_page")</f>
        <v>old_page</v>
      </c>
      <c r="E3715" s="1">
        <f>IFERROR(__xludf.DUMMYFUNCTION("""COMPUTED_VALUE"""),1.0)</f>
        <v>1</v>
      </c>
    </row>
    <row r="3716">
      <c r="A3716" s="1">
        <f>IFERROR(__xludf.DUMMYFUNCTION("""COMPUTED_VALUE"""),715398.0)</f>
        <v>715398</v>
      </c>
      <c r="B3716" s="2">
        <f>IFERROR(__xludf.DUMMYFUNCTION("""COMPUTED_VALUE"""),42739.037526570275)</f>
        <v>42739.03753</v>
      </c>
      <c r="C3716" s="1" t="str">
        <f>IFERROR(__xludf.DUMMYFUNCTION("""COMPUTED_VALUE"""),"treatment")</f>
        <v>treatment</v>
      </c>
      <c r="D3716" s="1" t="str">
        <f>IFERROR(__xludf.DUMMYFUNCTION("""COMPUTED_VALUE"""),"new_page")</f>
        <v>new_page</v>
      </c>
      <c r="E3716" s="1">
        <f>IFERROR(__xludf.DUMMYFUNCTION("""COMPUTED_VALUE"""),0.0)</f>
        <v>0</v>
      </c>
    </row>
    <row r="3717">
      <c r="A3717" s="1">
        <f>IFERROR(__xludf.DUMMYFUNCTION("""COMPUTED_VALUE"""),937928.0)</f>
        <v>937928</v>
      </c>
      <c r="B3717" s="2">
        <f>IFERROR(__xludf.DUMMYFUNCTION("""COMPUTED_VALUE"""),42743.263990851265)</f>
        <v>42743.26399</v>
      </c>
      <c r="C3717" s="1" t="str">
        <f>IFERROR(__xludf.DUMMYFUNCTION("""COMPUTED_VALUE"""),"control")</f>
        <v>control</v>
      </c>
      <c r="D3717" s="1" t="str">
        <f>IFERROR(__xludf.DUMMYFUNCTION("""COMPUTED_VALUE"""),"old_page")</f>
        <v>old_page</v>
      </c>
      <c r="E3717" s="1">
        <f>IFERROR(__xludf.DUMMYFUNCTION("""COMPUTED_VALUE"""),0.0)</f>
        <v>0</v>
      </c>
    </row>
    <row r="3718">
      <c r="A3718" s="1">
        <f>IFERROR(__xludf.DUMMYFUNCTION("""COMPUTED_VALUE"""),805428.0)</f>
        <v>805428</v>
      </c>
      <c r="B3718" s="2">
        <f>IFERROR(__xludf.DUMMYFUNCTION("""COMPUTED_VALUE"""),42743.137336427026)</f>
        <v>42743.13734</v>
      </c>
      <c r="C3718" s="1" t="str">
        <f>IFERROR(__xludf.DUMMYFUNCTION("""COMPUTED_VALUE"""),"control")</f>
        <v>control</v>
      </c>
      <c r="D3718" s="1" t="str">
        <f>IFERROR(__xludf.DUMMYFUNCTION("""COMPUTED_VALUE"""),"old_page")</f>
        <v>old_page</v>
      </c>
      <c r="E3718" s="1">
        <f>IFERROR(__xludf.DUMMYFUNCTION("""COMPUTED_VALUE"""),0.0)</f>
        <v>0</v>
      </c>
    </row>
    <row r="3719">
      <c r="A3719" s="1">
        <f>IFERROR(__xludf.DUMMYFUNCTION("""COMPUTED_VALUE"""),738359.0)</f>
        <v>738359</v>
      </c>
      <c r="B3719" s="2">
        <f>IFERROR(__xludf.DUMMYFUNCTION("""COMPUTED_VALUE"""),42746.74909583648)</f>
        <v>42746.7491</v>
      </c>
      <c r="C3719" s="1" t="str">
        <f>IFERROR(__xludf.DUMMYFUNCTION("""COMPUTED_VALUE"""),"treatment")</f>
        <v>treatment</v>
      </c>
      <c r="D3719" s="1" t="str">
        <f>IFERROR(__xludf.DUMMYFUNCTION("""COMPUTED_VALUE"""),"new_page")</f>
        <v>new_page</v>
      </c>
      <c r="E3719" s="1">
        <f>IFERROR(__xludf.DUMMYFUNCTION("""COMPUTED_VALUE"""),0.0)</f>
        <v>0</v>
      </c>
    </row>
    <row r="3720">
      <c r="A3720" s="1">
        <f>IFERROR(__xludf.DUMMYFUNCTION("""COMPUTED_VALUE"""),655365.0)</f>
        <v>655365</v>
      </c>
      <c r="B3720" s="2">
        <f>IFERROR(__xludf.DUMMYFUNCTION("""COMPUTED_VALUE"""),42755.65333459788)</f>
        <v>42755.65333</v>
      </c>
      <c r="C3720" s="1" t="str">
        <f>IFERROR(__xludf.DUMMYFUNCTION("""COMPUTED_VALUE"""),"treatment")</f>
        <v>treatment</v>
      </c>
      <c r="D3720" s="1" t="str">
        <f>IFERROR(__xludf.DUMMYFUNCTION("""COMPUTED_VALUE"""),"new_page")</f>
        <v>new_page</v>
      </c>
      <c r="E3720" s="1">
        <f>IFERROR(__xludf.DUMMYFUNCTION("""COMPUTED_VALUE"""),0.0)</f>
        <v>0</v>
      </c>
    </row>
    <row r="3721">
      <c r="A3721" s="1">
        <f>IFERROR(__xludf.DUMMYFUNCTION("""COMPUTED_VALUE"""),931396.0)</f>
        <v>931396</v>
      </c>
      <c r="B3721" s="2">
        <f>IFERROR(__xludf.DUMMYFUNCTION("""COMPUTED_VALUE"""),42751.7931167669)</f>
        <v>42751.79312</v>
      </c>
      <c r="C3721" s="1" t="str">
        <f>IFERROR(__xludf.DUMMYFUNCTION("""COMPUTED_VALUE"""),"treatment")</f>
        <v>treatment</v>
      </c>
      <c r="D3721" s="1" t="str">
        <f>IFERROR(__xludf.DUMMYFUNCTION("""COMPUTED_VALUE"""),"new_page")</f>
        <v>new_page</v>
      </c>
      <c r="E3721" s="1">
        <f>IFERROR(__xludf.DUMMYFUNCTION("""COMPUTED_VALUE"""),0.0)</f>
        <v>0</v>
      </c>
    </row>
    <row r="3722">
      <c r="A3722" s="1">
        <f>IFERROR(__xludf.DUMMYFUNCTION("""COMPUTED_VALUE"""),911990.0)</f>
        <v>911990</v>
      </c>
      <c r="B3722" s="2">
        <f>IFERROR(__xludf.DUMMYFUNCTION("""COMPUTED_VALUE"""),42739.75298719193)</f>
        <v>42739.75299</v>
      </c>
      <c r="C3722" s="1" t="str">
        <f>IFERROR(__xludf.DUMMYFUNCTION("""COMPUTED_VALUE"""),"treatment")</f>
        <v>treatment</v>
      </c>
      <c r="D3722" s="1" t="str">
        <f>IFERROR(__xludf.DUMMYFUNCTION("""COMPUTED_VALUE"""),"new_page")</f>
        <v>new_page</v>
      </c>
      <c r="E3722" s="1">
        <f>IFERROR(__xludf.DUMMYFUNCTION("""COMPUTED_VALUE"""),0.0)</f>
        <v>0</v>
      </c>
    </row>
    <row r="3723">
      <c r="A3723" s="1">
        <f>IFERROR(__xludf.DUMMYFUNCTION("""COMPUTED_VALUE"""),751041.0)</f>
        <v>751041</v>
      </c>
      <c r="B3723" s="2">
        <f>IFERROR(__xludf.DUMMYFUNCTION("""COMPUTED_VALUE"""),42752.02210767699)</f>
        <v>42752.02211</v>
      </c>
      <c r="C3723" s="1" t="str">
        <f>IFERROR(__xludf.DUMMYFUNCTION("""COMPUTED_VALUE"""),"treatment")</f>
        <v>treatment</v>
      </c>
      <c r="D3723" s="1" t="str">
        <f>IFERROR(__xludf.DUMMYFUNCTION("""COMPUTED_VALUE"""),"new_page")</f>
        <v>new_page</v>
      </c>
      <c r="E3723" s="1">
        <f>IFERROR(__xludf.DUMMYFUNCTION("""COMPUTED_VALUE"""),0.0)</f>
        <v>0</v>
      </c>
    </row>
    <row r="3724">
      <c r="A3724" s="1">
        <f>IFERROR(__xludf.DUMMYFUNCTION("""COMPUTED_VALUE"""),838529.0)</f>
        <v>838529</v>
      </c>
      <c r="B3724" s="2">
        <f>IFERROR(__xludf.DUMMYFUNCTION("""COMPUTED_VALUE"""),42754.007497545594)</f>
        <v>42754.0075</v>
      </c>
      <c r="C3724" s="1" t="str">
        <f>IFERROR(__xludf.DUMMYFUNCTION("""COMPUTED_VALUE"""),"control")</f>
        <v>control</v>
      </c>
      <c r="D3724" s="1" t="str">
        <f>IFERROR(__xludf.DUMMYFUNCTION("""COMPUTED_VALUE"""),"old_page")</f>
        <v>old_page</v>
      </c>
      <c r="E3724" s="1">
        <f>IFERROR(__xludf.DUMMYFUNCTION("""COMPUTED_VALUE"""),1.0)</f>
        <v>1</v>
      </c>
    </row>
    <row r="3725">
      <c r="A3725" s="1">
        <f>IFERROR(__xludf.DUMMYFUNCTION("""COMPUTED_VALUE"""),898421.0)</f>
        <v>898421</v>
      </c>
      <c r="B3725" s="2">
        <f>IFERROR(__xludf.DUMMYFUNCTION("""COMPUTED_VALUE"""),42749.03918212377)</f>
        <v>42749.03918</v>
      </c>
      <c r="C3725" s="1" t="str">
        <f>IFERROR(__xludf.DUMMYFUNCTION("""COMPUTED_VALUE"""),"treatment")</f>
        <v>treatment</v>
      </c>
      <c r="D3725" s="1" t="str">
        <f>IFERROR(__xludf.DUMMYFUNCTION("""COMPUTED_VALUE"""),"new_page")</f>
        <v>new_page</v>
      </c>
      <c r="E3725" s="1">
        <f>IFERROR(__xludf.DUMMYFUNCTION("""COMPUTED_VALUE"""),0.0)</f>
        <v>0</v>
      </c>
    </row>
    <row r="3726">
      <c r="A3726" s="1">
        <f>IFERROR(__xludf.DUMMYFUNCTION("""COMPUTED_VALUE"""),716586.0)</f>
        <v>716586</v>
      </c>
      <c r="B3726" s="2">
        <f>IFERROR(__xludf.DUMMYFUNCTION("""COMPUTED_VALUE"""),42744.34102833612)</f>
        <v>42744.34103</v>
      </c>
      <c r="C3726" s="1" t="str">
        <f>IFERROR(__xludf.DUMMYFUNCTION("""COMPUTED_VALUE"""),"control")</f>
        <v>control</v>
      </c>
      <c r="D3726" s="1" t="str">
        <f>IFERROR(__xludf.DUMMYFUNCTION("""COMPUTED_VALUE"""),"old_page")</f>
        <v>old_page</v>
      </c>
      <c r="E3726" s="1">
        <f>IFERROR(__xludf.DUMMYFUNCTION("""COMPUTED_VALUE"""),0.0)</f>
        <v>0</v>
      </c>
    </row>
    <row r="3727">
      <c r="A3727" s="1">
        <f>IFERROR(__xludf.DUMMYFUNCTION("""COMPUTED_VALUE"""),650631.0)</f>
        <v>650631</v>
      </c>
      <c r="B3727" s="2">
        <f>IFERROR(__xludf.DUMMYFUNCTION("""COMPUTED_VALUE"""),42754.75153794952)</f>
        <v>42754.75154</v>
      </c>
      <c r="C3727" s="1" t="str">
        <f>IFERROR(__xludf.DUMMYFUNCTION("""COMPUTED_VALUE"""),"control")</f>
        <v>control</v>
      </c>
      <c r="D3727" s="1" t="str">
        <f>IFERROR(__xludf.DUMMYFUNCTION("""COMPUTED_VALUE"""),"old_page")</f>
        <v>old_page</v>
      </c>
      <c r="E3727" s="1">
        <f>IFERROR(__xludf.DUMMYFUNCTION("""COMPUTED_VALUE"""),1.0)</f>
        <v>1</v>
      </c>
    </row>
    <row r="3728">
      <c r="A3728" s="1">
        <f>IFERROR(__xludf.DUMMYFUNCTION("""COMPUTED_VALUE"""),696917.0)</f>
        <v>696917</v>
      </c>
      <c r="B3728" s="2">
        <f>IFERROR(__xludf.DUMMYFUNCTION("""COMPUTED_VALUE"""),42750.50461753711)</f>
        <v>42750.50462</v>
      </c>
      <c r="C3728" s="1" t="str">
        <f>IFERROR(__xludf.DUMMYFUNCTION("""COMPUTED_VALUE"""),"treatment")</f>
        <v>treatment</v>
      </c>
      <c r="D3728" s="1" t="str">
        <f>IFERROR(__xludf.DUMMYFUNCTION("""COMPUTED_VALUE"""),"new_page")</f>
        <v>new_page</v>
      </c>
      <c r="E3728" s="1">
        <f>IFERROR(__xludf.DUMMYFUNCTION("""COMPUTED_VALUE"""),1.0)</f>
        <v>1</v>
      </c>
    </row>
    <row r="3729">
      <c r="A3729" s="1">
        <f>IFERROR(__xludf.DUMMYFUNCTION("""COMPUTED_VALUE"""),894670.0)</f>
        <v>894670</v>
      </c>
      <c r="B3729" s="2">
        <f>IFERROR(__xludf.DUMMYFUNCTION("""COMPUTED_VALUE"""),42750.0726520148)</f>
        <v>42750.07265</v>
      </c>
      <c r="C3729" s="1" t="str">
        <f>IFERROR(__xludf.DUMMYFUNCTION("""COMPUTED_VALUE"""),"treatment")</f>
        <v>treatment</v>
      </c>
      <c r="D3729" s="1" t="str">
        <f>IFERROR(__xludf.DUMMYFUNCTION("""COMPUTED_VALUE"""),"new_page")</f>
        <v>new_page</v>
      </c>
      <c r="E3729" s="1">
        <f>IFERROR(__xludf.DUMMYFUNCTION("""COMPUTED_VALUE"""),0.0)</f>
        <v>0</v>
      </c>
    </row>
    <row r="3730">
      <c r="A3730" s="1">
        <f>IFERROR(__xludf.DUMMYFUNCTION("""COMPUTED_VALUE"""),848603.0)</f>
        <v>848603</v>
      </c>
      <c r="B3730" s="2">
        <f>IFERROR(__xludf.DUMMYFUNCTION("""COMPUTED_VALUE"""),42744.111652254905)</f>
        <v>42744.11165</v>
      </c>
      <c r="C3730" s="1" t="str">
        <f>IFERROR(__xludf.DUMMYFUNCTION("""COMPUTED_VALUE"""),"control")</f>
        <v>control</v>
      </c>
      <c r="D3730" s="1" t="str">
        <f>IFERROR(__xludf.DUMMYFUNCTION("""COMPUTED_VALUE"""),"old_page")</f>
        <v>old_page</v>
      </c>
      <c r="E3730" s="1">
        <f>IFERROR(__xludf.DUMMYFUNCTION("""COMPUTED_VALUE"""),0.0)</f>
        <v>0</v>
      </c>
    </row>
    <row r="3731">
      <c r="A3731" s="1">
        <f>IFERROR(__xludf.DUMMYFUNCTION("""COMPUTED_VALUE"""),705679.0)</f>
        <v>705679</v>
      </c>
      <c r="B3731" s="2">
        <f>IFERROR(__xludf.DUMMYFUNCTION("""COMPUTED_VALUE"""),42741.99295273322)</f>
        <v>42741.99295</v>
      </c>
      <c r="C3731" s="1" t="str">
        <f>IFERROR(__xludf.DUMMYFUNCTION("""COMPUTED_VALUE"""),"treatment")</f>
        <v>treatment</v>
      </c>
      <c r="D3731" s="1" t="str">
        <f>IFERROR(__xludf.DUMMYFUNCTION("""COMPUTED_VALUE"""),"new_page")</f>
        <v>new_page</v>
      </c>
      <c r="E3731" s="1">
        <f>IFERROR(__xludf.DUMMYFUNCTION("""COMPUTED_VALUE"""),0.0)</f>
        <v>0</v>
      </c>
    </row>
    <row r="3732">
      <c r="A3732" s="1">
        <f>IFERROR(__xludf.DUMMYFUNCTION("""COMPUTED_VALUE"""),715876.0)</f>
        <v>715876</v>
      </c>
      <c r="B3732" s="2">
        <f>IFERROR(__xludf.DUMMYFUNCTION("""COMPUTED_VALUE"""),42752.630255284144)</f>
        <v>42752.63026</v>
      </c>
      <c r="C3732" s="1" t="str">
        <f>IFERROR(__xludf.DUMMYFUNCTION("""COMPUTED_VALUE"""),"control")</f>
        <v>control</v>
      </c>
      <c r="D3732" s="1" t="str">
        <f>IFERROR(__xludf.DUMMYFUNCTION("""COMPUTED_VALUE"""),"old_page")</f>
        <v>old_page</v>
      </c>
      <c r="E3732" s="1">
        <f>IFERROR(__xludf.DUMMYFUNCTION("""COMPUTED_VALUE"""),0.0)</f>
        <v>0</v>
      </c>
    </row>
    <row r="3733">
      <c r="A3733" s="1">
        <f>IFERROR(__xludf.DUMMYFUNCTION("""COMPUTED_VALUE"""),920081.0)</f>
        <v>920081</v>
      </c>
      <c r="B3733" s="2">
        <f>IFERROR(__xludf.DUMMYFUNCTION("""COMPUTED_VALUE"""),42752.870584125536)</f>
        <v>42752.87058</v>
      </c>
      <c r="C3733" s="1" t="str">
        <f>IFERROR(__xludf.DUMMYFUNCTION("""COMPUTED_VALUE"""),"treatment")</f>
        <v>treatment</v>
      </c>
      <c r="D3733" s="1" t="str">
        <f>IFERROR(__xludf.DUMMYFUNCTION("""COMPUTED_VALUE"""),"new_page")</f>
        <v>new_page</v>
      </c>
      <c r="E3733" s="1">
        <f>IFERROR(__xludf.DUMMYFUNCTION("""COMPUTED_VALUE"""),0.0)</f>
        <v>0</v>
      </c>
    </row>
    <row r="3734">
      <c r="A3734" s="1">
        <f>IFERROR(__xludf.DUMMYFUNCTION("""COMPUTED_VALUE"""),750414.0)</f>
        <v>750414</v>
      </c>
      <c r="B3734" s="2">
        <f>IFERROR(__xludf.DUMMYFUNCTION("""COMPUTED_VALUE"""),42753.79350702595)</f>
        <v>42753.79351</v>
      </c>
      <c r="C3734" s="1" t="str">
        <f>IFERROR(__xludf.DUMMYFUNCTION("""COMPUTED_VALUE"""),"control")</f>
        <v>control</v>
      </c>
      <c r="D3734" s="1" t="str">
        <f>IFERROR(__xludf.DUMMYFUNCTION("""COMPUTED_VALUE"""),"old_page")</f>
        <v>old_page</v>
      </c>
      <c r="E3734" s="1">
        <f>IFERROR(__xludf.DUMMYFUNCTION("""COMPUTED_VALUE"""),0.0)</f>
        <v>0</v>
      </c>
    </row>
    <row r="3735">
      <c r="A3735" s="1">
        <f>IFERROR(__xludf.DUMMYFUNCTION("""COMPUTED_VALUE"""),781863.0)</f>
        <v>781863</v>
      </c>
      <c r="B3735" s="2">
        <f>IFERROR(__xludf.DUMMYFUNCTION("""COMPUTED_VALUE"""),42755.750191524945)</f>
        <v>42755.75019</v>
      </c>
      <c r="C3735" s="1" t="str">
        <f>IFERROR(__xludf.DUMMYFUNCTION("""COMPUTED_VALUE"""),"treatment")</f>
        <v>treatment</v>
      </c>
      <c r="D3735" s="1" t="str">
        <f>IFERROR(__xludf.DUMMYFUNCTION("""COMPUTED_VALUE"""),"new_page")</f>
        <v>new_page</v>
      </c>
      <c r="E3735" s="1">
        <f>IFERROR(__xludf.DUMMYFUNCTION("""COMPUTED_VALUE"""),0.0)</f>
        <v>0</v>
      </c>
    </row>
    <row r="3736">
      <c r="A3736" s="1">
        <f>IFERROR(__xludf.DUMMYFUNCTION("""COMPUTED_VALUE"""),649201.0)</f>
        <v>649201</v>
      </c>
      <c r="B3736" s="2">
        <f>IFERROR(__xludf.DUMMYFUNCTION("""COMPUTED_VALUE"""),42753.04361606382)</f>
        <v>42753.04362</v>
      </c>
      <c r="C3736" s="1" t="str">
        <f>IFERROR(__xludf.DUMMYFUNCTION("""COMPUTED_VALUE"""),"control")</f>
        <v>control</v>
      </c>
      <c r="D3736" s="1" t="str">
        <f>IFERROR(__xludf.DUMMYFUNCTION("""COMPUTED_VALUE"""),"old_page")</f>
        <v>old_page</v>
      </c>
      <c r="E3736" s="1">
        <f>IFERROR(__xludf.DUMMYFUNCTION("""COMPUTED_VALUE"""),1.0)</f>
        <v>1</v>
      </c>
    </row>
    <row r="3737">
      <c r="A3737" s="1">
        <f>IFERROR(__xludf.DUMMYFUNCTION("""COMPUTED_VALUE"""),909110.0)</f>
        <v>909110</v>
      </c>
      <c r="B3737" s="2">
        <f>IFERROR(__xludf.DUMMYFUNCTION("""COMPUTED_VALUE"""),42739.884137084955)</f>
        <v>42739.88414</v>
      </c>
      <c r="C3737" s="1" t="str">
        <f>IFERROR(__xludf.DUMMYFUNCTION("""COMPUTED_VALUE"""),"treatment")</f>
        <v>treatment</v>
      </c>
      <c r="D3737" s="1" t="str">
        <f>IFERROR(__xludf.DUMMYFUNCTION("""COMPUTED_VALUE"""),"new_page")</f>
        <v>new_page</v>
      </c>
      <c r="E3737" s="1">
        <f>IFERROR(__xludf.DUMMYFUNCTION("""COMPUTED_VALUE"""),1.0)</f>
        <v>1</v>
      </c>
    </row>
    <row r="3738">
      <c r="A3738" s="1">
        <f>IFERROR(__xludf.DUMMYFUNCTION("""COMPUTED_VALUE"""),667006.0)</f>
        <v>667006</v>
      </c>
      <c r="B3738" s="2">
        <f>IFERROR(__xludf.DUMMYFUNCTION("""COMPUTED_VALUE"""),42737.84860332845)</f>
        <v>42737.8486</v>
      </c>
      <c r="C3738" s="1" t="str">
        <f>IFERROR(__xludf.DUMMYFUNCTION("""COMPUTED_VALUE"""),"control")</f>
        <v>control</v>
      </c>
      <c r="D3738" s="1" t="str">
        <f>IFERROR(__xludf.DUMMYFUNCTION("""COMPUTED_VALUE"""),"old_page")</f>
        <v>old_page</v>
      </c>
      <c r="E3738" s="1">
        <f>IFERROR(__xludf.DUMMYFUNCTION("""COMPUTED_VALUE"""),0.0)</f>
        <v>0</v>
      </c>
    </row>
    <row r="3739">
      <c r="A3739" s="1">
        <f>IFERROR(__xludf.DUMMYFUNCTION("""COMPUTED_VALUE"""),750878.0)</f>
        <v>750878</v>
      </c>
      <c r="B3739" s="2">
        <f>IFERROR(__xludf.DUMMYFUNCTION("""COMPUTED_VALUE"""),42745.36524438375)</f>
        <v>42745.36524</v>
      </c>
      <c r="C3739" s="1" t="str">
        <f>IFERROR(__xludf.DUMMYFUNCTION("""COMPUTED_VALUE"""),"control")</f>
        <v>control</v>
      </c>
      <c r="D3739" s="1" t="str">
        <f>IFERROR(__xludf.DUMMYFUNCTION("""COMPUTED_VALUE"""),"old_page")</f>
        <v>old_page</v>
      </c>
      <c r="E3739" s="1">
        <f>IFERROR(__xludf.DUMMYFUNCTION("""COMPUTED_VALUE"""),0.0)</f>
        <v>0</v>
      </c>
    </row>
    <row r="3740">
      <c r="A3740" s="1">
        <f>IFERROR(__xludf.DUMMYFUNCTION("""COMPUTED_VALUE"""),788246.0)</f>
        <v>788246</v>
      </c>
      <c r="B3740" s="2">
        <f>IFERROR(__xludf.DUMMYFUNCTION("""COMPUTED_VALUE"""),42750.75871890405)</f>
        <v>42750.75872</v>
      </c>
      <c r="C3740" s="1" t="str">
        <f>IFERROR(__xludf.DUMMYFUNCTION("""COMPUTED_VALUE"""),"control")</f>
        <v>control</v>
      </c>
      <c r="D3740" s="1" t="str">
        <f>IFERROR(__xludf.DUMMYFUNCTION("""COMPUTED_VALUE"""),"old_page")</f>
        <v>old_page</v>
      </c>
      <c r="E3740" s="1">
        <f>IFERROR(__xludf.DUMMYFUNCTION("""COMPUTED_VALUE"""),0.0)</f>
        <v>0</v>
      </c>
    </row>
    <row r="3741">
      <c r="A3741" s="1">
        <f>IFERROR(__xludf.DUMMYFUNCTION("""COMPUTED_VALUE"""),717746.0)</f>
        <v>717746</v>
      </c>
      <c r="B3741" s="2">
        <f>IFERROR(__xludf.DUMMYFUNCTION("""COMPUTED_VALUE"""),42749.726519673764)</f>
        <v>42749.72652</v>
      </c>
      <c r="C3741" s="1" t="str">
        <f>IFERROR(__xludf.DUMMYFUNCTION("""COMPUTED_VALUE"""),"treatment")</f>
        <v>treatment</v>
      </c>
      <c r="D3741" s="1" t="str">
        <f>IFERROR(__xludf.DUMMYFUNCTION("""COMPUTED_VALUE"""),"new_page")</f>
        <v>new_page</v>
      </c>
      <c r="E3741" s="1">
        <f>IFERROR(__xludf.DUMMYFUNCTION("""COMPUTED_VALUE"""),0.0)</f>
        <v>0</v>
      </c>
    </row>
    <row r="3742">
      <c r="A3742" s="1">
        <f>IFERROR(__xludf.DUMMYFUNCTION("""COMPUTED_VALUE"""),838483.0)</f>
        <v>838483</v>
      </c>
      <c r="B3742" s="2">
        <f>IFERROR(__xludf.DUMMYFUNCTION("""COMPUTED_VALUE"""),42751.11581725942)</f>
        <v>42751.11582</v>
      </c>
      <c r="C3742" s="1" t="str">
        <f>IFERROR(__xludf.DUMMYFUNCTION("""COMPUTED_VALUE"""),"treatment")</f>
        <v>treatment</v>
      </c>
      <c r="D3742" s="1" t="str">
        <f>IFERROR(__xludf.DUMMYFUNCTION("""COMPUTED_VALUE"""),"new_page")</f>
        <v>new_page</v>
      </c>
      <c r="E3742" s="1">
        <f>IFERROR(__xludf.DUMMYFUNCTION("""COMPUTED_VALUE"""),0.0)</f>
        <v>0</v>
      </c>
    </row>
    <row r="3743">
      <c r="A3743" s="1">
        <f>IFERROR(__xludf.DUMMYFUNCTION("""COMPUTED_VALUE"""),899886.0)</f>
        <v>899886</v>
      </c>
      <c r="B3743" s="2">
        <f>IFERROR(__xludf.DUMMYFUNCTION("""COMPUTED_VALUE"""),42745.65538937344)</f>
        <v>42745.65539</v>
      </c>
      <c r="C3743" s="1" t="str">
        <f>IFERROR(__xludf.DUMMYFUNCTION("""COMPUTED_VALUE"""),"control")</f>
        <v>control</v>
      </c>
      <c r="D3743" s="1" t="str">
        <f>IFERROR(__xludf.DUMMYFUNCTION("""COMPUTED_VALUE"""),"old_page")</f>
        <v>old_page</v>
      </c>
      <c r="E3743" s="1">
        <f>IFERROR(__xludf.DUMMYFUNCTION("""COMPUTED_VALUE"""),0.0)</f>
        <v>0</v>
      </c>
    </row>
    <row r="3744">
      <c r="A3744" s="1">
        <f>IFERROR(__xludf.DUMMYFUNCTION("""COMPUTED_VALUE"""),763614.0)</f>
        <v>763614</v>
      </c>
      <c r="B3744" s="2">
        <f>IFERROR(__xludf.DUMMYFUNCTION("""COMPUTED_VALUE"""),42755.93382727596)</f>
        <v>42755.93383</v>
      </c>
      <c r="C3744" s="1" t="str">
        <f>IFERROR(__xludf.DUMMYFUNCTION("""COMPUTED_VALUE"""),"treatment")</f>
        <v>treatment</v>
      </c>
      <c r="D3744" s="1" t="str">
        <f>IFERROR(__xludf.DUMMYFUNCTION("""COMPUTED_VALUE"""),"new_page")</f>
        <v>new_page</v>
      </c>
      <c r="E3744" s="1">
        <f>IFERROR(__xludf.DUMMYFUNCTION("""COMPUTED_VALUE"""),0.0)</f>
        <v>0</v>
      </c>
    </row>
    <row r="3745">
      <c r="A3745" s="1">
        <f>IFERROR(__xludf.DUMMYFUNCTION("""COMPUTED_VALUE"""),746955.0)</f>
        <v>746955</v>
      </c>
      <c r="B3745" s="2">
        <f>IFERROR(__xludf.DUMMYFUNCTION("""COMPUTED_VALUE"""),42745.4922070716)</f>
        <v>42745.49221</v>
      </c>
      <c r="C3745" s="1" t="str">
        <f>IFERROR(__xludf.DUMMYFUNCTION("""COMPUTED_VALUE"""),"control")</f>
        <v>control</v>
      </c>
      <c r="D3745" s="1" t="str">
        <f>IFERROR(__xludf.DUMMYFUNCTION("""COMPUTED_VALUE"""),"old_page")</f>
        <v>old_page</v>
      </c>
      <c r="E3745" s="1">
        <f>IFERROR(__xludf.DUMMYFUNCTION("""COMPUTED_VALUE"""),0.0)</f>
        <v>0</v>
      </c>
    </row>
    <row r="3746">
      <c r="A3746" s="1">
        <f>IFERROR(__xludf.DUMMYFUNCTION("""COMPUTED_VALUE"""),641326.0)</f>
        <v>641326</v>
      </c>
      <c r="B3746" s="2">
        <f>IFERROR(__xludf.DUMMYFUNCTION("""COMPUTED_VALUE"""),42739.74892821335)</f>
        <v>42739.74893</v>
      </c>
      <c r="C3746" s="1" t="str">
        <f>IFERROR(__xludf.DUMMYFUNCTION("""COMPUTED_VALUE"""),"control")</f>
        <v>control</v>
      </c>
      <c r="D3746" s="1" t="str">
        <f>IFERROR(__xludf.DUMMYFUNCTION("""COMPUTED_VALUE"""),"old_page")</f>
        <v>old_page</v>
      </c>
      <c r="E3746" s="1">
        <f>IFERROR(__xludf.DUMMYFUNCTION("""COMPUTED_VALUE"""),0.0)</f>
        <v>0</v>
      </c>
    </row>
    <row r="3747">
      <c r="A3747" s="1">
        <f>IFERROR(__xludf.DUMMYFUNCTION("""COMPUTED_VALUE"""),702566.0)</f>
        <v>702566</v>
      </c>
      <c r="B3747" s="2">
        <f>IFERROR(__xludf.DUMMYFUNCTION("""COMPUTED_VALUE"""),42739.55021400016)</f>
        <v>42739.55021</v>
      </c>
      <c r="C3747" s="1" t="str">
        <f>IFERROR(__xludf.DUMMYFUNCTION("""COMPUTED_VALUE"""),"treatment")</f>
        <v>treatment</v>
      </c>
      <c r="D3747" s="1" t="str">
        <f>IFERROR(__xludf.DUMMYFUNCTION("""COMPUTED_VALUE"""),"new_page")</f>
        <v>new_page</v>
      </c>
      <c r="E3747" s="1">
        <f>IFERROR(__xludf.DUMMYFUNCTION("""COMPUTED_VALUE"""),0.0)</f>
        <v>0</v>
      </c>
    </row>
    <row r="3748">
      <c r="A3748" s="1">
        <f>IFERROR(__xludf.DUMMYFUNCTION("""COMPUTED_VALUE"""),716602.0)</f>
        <v>716602</v>
      </c>
      <c r="B3748" s="2">
        <f>IFERROR(__xludf.DUMMYFUNCTION("""COMPUTED_VALUE"""),42737.842309017025)</f>
        <v>42737.84231</v>
      </c>
      <c r="C3748" s="1" t="str">
        <f>IFERROR(__xludf.DUMMYFUNCTION("""COMPUTED_VALUE"""),"control")</f>
        <v>control</v>
      </c>
      <c r="D3748" s="1" t="str">
        <f>IFERROR(__xludf.DUMMYFUNCTION("""COMPUTED_VALUE"""),"old_page")</f>
        <v>old_page</v>
      </c>
      <c r="E3748" s="1">
        <f>IFERROR(__xludf.DUMMYFUNCTION("""COMPUTED_VALUE"""),0.0)</f>
        <v>0</v>
      </c>
    </row>
    <row r="3749">
      <c r="A3749" s="1">
        <f>IFERROR(__xludf.DUMMYFUNCTION("""COMPUTED_VALUE"""),805742.0)</f>
        <v>805742</v>
      </c>
      <c r="B3749" s="2">
        <f>IFERROR(__xludf.DUMMYFUNCTION("""COMPUTED_VALUE"""),42740.64459022443)</f>
        <v>42740.64459</v>
      </c>
      <c r="C3749" s="1" t="str">
        <f>IFERROR(__xludf.DUMMYFUNCTION("""COMPUTED_VALUE"""),"treatment")</f>
        <v>treatment</v>
      </c>
      <c r="D3749" s="1" t="str">
        <f>IFERROR(__xludf.DUMMYFUNCTION("""COMPUTED_VALUE"""),"new_page")</f>
        <v>new_page</v>
      </c>
      <c r="E3749" s="1">
        <f>IFERROR(__xludf.DUMMYFUNCTION("""COMPUTED_VALUE"""),0.0)</f>
        <v>0</v>
      </c>
    </row>
    <row r="3750">
      <c r="A3750" s="1">
        <f>IFERROR(__xludf.DUMMYFUNCTION("""COMPUTED_VALUE"""),888213.0)</f>
        <v>888213</v>
      </c>
      <c r="B3750" s="2">
        <f>IFERROR(__xludf.DUMMYFUNCTION("""COMPUTED_VALUE"""),42743.50198921273)</f>
        <v>42743.50199</v>
      </c>
      <c r="C3750" s="1" t="str">
        <f>IFERROR(__xludf.DUMMYFUNCTION("""COMPUTED_VALUE"""),"treatment")</f>
        <v>treatment</v>
      </c>
      <c r="D3750" s="1" t="str">
        <f>IFERROR(__xludf.DUMMYFUNCTION("""COMPUTED_VALUE"""),"new_page")</f>
        <v>new_page</v>
      </c>
      <c r="E3750" s="1">
        <f>IFERROR(__xludf.DUMMYFUNCTION("""COMPUTED_VALUE"""),0.0)</f>
        <v>0</v>
      </c>
    </row>
    <row r="3751">
      <c r="A3751" s="1">
        <f>IFERROR(__xludf.DUMMYFUNCTION("""COMPUTED_VALUE"""),757604.0)</f>
        <v>757604</v>
      </c>
      <c r="B3751" s="2">
        <f>IFERROR(__xludf.DUMMYFUNCTION("""COMPUTED_VALUE"""),42755.47366203414)</f>
        <v>42755.47366</v>
      </c>
      <c r="C3751" s="1" t="str">
        <f>IFERROR(__xludf.DUMMYFUNCTION("""COMPUTED_VALUE"""),"control")</f>
        <v>control</v>
      </c>
      <c r="D3751" s="1" t="str">
        <f>IFERROR(__xludf.DUMMYFUNCTION("""COMPUTED_VALUE"""),"old_page")</f>
        <v>old_page</v>
      </c>
      <c r="E3751" s="1">
        <f>IFERROR(__xludf.DUMMYFUNCTION("""COMPUTED_VALUE"""),0.0)</f>
        <v>0</v>
      </c>
    </row>
    <row r="3752">
      <c r="A3752" s="1">
        <f>IFERROR(__xludf.DUMMYFUNCTION("""COMPUTED_VALUE"""),647316.0)</f>
        <v>647316</v>
      </c>
      <c r="B3752" s="2">
        <f>IFERROR(__xludf.DUMMYFUNCTION("""COMPUTED_VALUE"""),42753.469910762265)</f>
        <v>42753.46991</v>
      </c>
      <c r="C3752" s="1" t="str">
        <f>IFERROR(__xludf.DUMMYFUNCTION("""COMPUTED_VALUE"""),"control")</f>
        <v>control</v>
      </c>
      <c r="D3752" s="1" t="str">
        <f>IFERROR(__xludf.DUMMYFUNCTION("""COMPUTED_VALUE"""),"old_page")</f>
        <v>old_page</v>
      </c>
      <c r="E3752" s="1">
        <f>IFERROR(__xludf.DUMMYFUNCTION("""COMPUTED_VALUE"""),0.0)</f>
        <v>0</v>
      </c>
    </row>
    <row r="3753">
      <c r="A3753" s="1">
        <f>IFERROR(__xludf.DUMMYFUNCTION("""COMPUTED_VALUE"""),752323.0)</f>
        <v>752323</v>
      </c>
      <c r="B3753" s="2">
        <f>IFERROR(__xludf.DUMMYFUNCTION("""COMPUTED_VALUE"""),42749.49737467971)</f>
        <v>42749.49737</v>
      </c>
      <c r="C3753" s="1" t="str">
        <f>IFERROR(__xludf.DUMMYFUNCTION("""COMPUTED_VALUE"""),"treatment")</f>
        <v>treatment</v>
      </c>
      <c r="D3753" s="1" t="str">
        <f>IFERROR(__xludf.DUMMYFUNCTION("""COMPUTED_VALUE"""),"new_page")</f>
        <v>new_page</v>
      </c>
      <c r="E3753" s="1">
        <f>IFERROR(__xludf.DUMMYFUNCTION("""COMPUTED_VALUE"""),0.0)</f>
        <v>0</v>
      </c>
    </row>
    <row r="3754">
      <c r="A3754" s="1">
        <f>IFERROR(__xludf.DUMMYFUNCTION("""COMPUTED_VALUE"""),889054.0)</f>
        <v>889054</v>
      </c>
      <c r="B3754" s="2">
        <f>IFERROR(__xludf.DUMMYFUNCTION("""COMPUTED_VALUE"""),42759.05738698774)</f>
        <v>42759.05739</v>
      </c>
      <c r="C3754" s="1" t="str">
        <f>IFERROR(__xludf.DUMMYFUNCTION("""COMPUTED_VALUE"""),"control")</f>
        <v>control</v>
      </c>
      <c r="D3754" s="1" t="str">
        <f>IFERROR(__xludf.DUMMYFUNCTION("""COMPUTED_VALUE"""),"old_page")</f>
        <v>old_page</v>
      </c>
      <c r="E3754" s="1">
        <f>IFERROR(__xludf.DUMMYFUNCTION("""COMPUTED_VALUE"""),0.0)</f>
        <v>0</v>
      </c>
    </row>
    <row r="3755">
      <c r="A3755" s="1">
        <f>IFERROR(__xludf.DUMMYFUNCTION("""COMPUTED_VALUE"""),841415.0)</f>
        <v>841415</v>
      </c>
      <c r="B3755" s="2">
        <f>IFERROR(__xludf.DUMMYFUNCTION("""COMPUTED_VALUE"""),42748.59836861366)</f>
        <v>42748.59837</v>
      </c>
      <c r="C3755" s="1" t="str">
        <f>IFERROR(__xludf.DUMMYFUNCTION("""COMPUTED_VALUE"""),"control")</f>
        <v>control</v>
      </c>
      <c r="D3755" s="1" t="str">
        <f>IFERROR(__xludf.DUMMYFUNCTION("""COMPUTED_VALUE"""),"old_page")</f>
        <v>old_page</v>
      </c>
      <c r="E3755" s="1">
        <f>IFERROR(__xludf.DUMMYFUNCTION("""COMPUTED_VALUE"""),0.0)</f>
        <v>0</v>
      </c>
    </row>
    <row r="3756">
      <c r="A3756" s="1">
        <f>IFERROR(__xludf.DUMMYFUNCTION("""COMPUTED_VALUE"""),926780.0)</f>
        <v>926780</v>
      </c>
      <c r="B3756" s="2">
        <f>IFERROR(__xludf.DUMMYFUNCTION("""COMPUTED_VALUE"""),42742.67643406007)</f>
        <v>42742.67643</v>
      </c>
      <c r="C3756" s="1" t="str">
        <f>IFERROR(__xludf.DUMMYFUNCTION("""COMPUTED_VALUE"""),"treatment")</f>
        <v>treatment</v>
      </c>
      <c r="D3756" s="1" t="str">
        <f>IFERROR(__xludf.DUMMYFUNCTION("""COMPUTED_VALUE"""),"new_page")</f>
        <v>new_page</v>
      </c>
      <c r="E3756" s="1">
        <f>IFERROR(__xludf.DUMMYFUNCTION("""COMPUTED_VALUE"""),0.0)</f>
        <v>0</v>
      </c>
    </row>
    <row r="3757">
      <c r="A3757" s="1">
        <f>IFERROR(__xludf.DUMMYFUNCTION("""COMPUTED_VALUE"""),825696.0)</f>
        <v>825696</v>
      </c>
      <c r="B3757" s="2">
        <f>IFERROR(__xludf.DUMMYFUNCTION("""COMPUTED_VALUE"""),42754.56700943357)</f>
        <v>42754.56701</v>
      </c>
      <c r="C3757" s="1" t="str">
        <f>IFERROR(__xludf.DUMMYFUNCTION("""COMPUTED_VALUE"""),"control")</f>
        <v>control</v>
      </c>
      <c r="D3757" s="1" t="str">
        <f>IFERROR(__xludf.DUMMYFUNCTION("""COMPUTED_VALUE"""),"old_page")</f>
        <v>old_page</v>
      </c>
      <c r="E3757" s="1">
        <f>IFERROR(__xludf.DUMMYFUNCTION("""COMPUTED_VALUE"""),0.0)</f>
        <v>0</v>
      </c>
    </row>
    <row r="3758">
      <c r="A3758" s="1">
        <f>IFERROR(__xludf.DUMMYFUNCTION("""COMPUTED_VALUE"""),793659.0)</f>
        <v>793659</v>
      </c>
      <c r="B3758" s="2">
        <f>IFERROR(__xludf.DUMMYFUNCTION("""COMPUTED_VALUE"""),42743.92617669022)</f>
        <v>42743.92618</v>
      </c>
      <c r="C3758" s="1" t="str">
        <f>IFERROR(__xludf.DUMMYFUNCTION("""COMPUTED_VALUE"""),"treatment")</f>
        <v>treatment</v>
      </c>
      <c r="D3758" s="1" t="str">
        <f>IFERROR(__xludf.DUMMYFUNCTION("""COMPUTED_VALUE"""),"new_page")</f>
        <v>new_page</v>
      </c>
      <c r="E3758" s="1">
        <f>IFERROR(__xludf.DUMMYFUNCTION("""COMPUTED_VALUE"""),0.0)</f>
        <v>0</v>
      </c>
    </row>
    <row r="3759">
      <c r="A3759" s="1">
        <f>IFERROR(__xludf.DUMMYFUNCTION("""COMPUTED_VALUE"""),889892.0)</f>
        <v>889892</v>
      </c>
      <c r="B3759" s="2">
        <f>IFERROR(__xludf.DUMMYFUNCTION("""COMPUTED_VALUE"""),42757.56986692096)</f>
        <v>42757.56987</v>
      </c>
      <c r="C3759" s="1" t="str">
        <f>IFERROR(__xludf.DUMMYFUNCTION("""COMPUTED_VALUE"""),"treatment")</f>
        <v>treatment</v>
      </c>
      <c r="D3759" s="1" t="str">
        <f>IFERROR(__xludf.DUMMYFUNCTION("""COMPUTED_VALUE"""),"new_page")</f>
        <v>new_page</v>
      </c>
      <c r="E3759" s="1">
        <f>IFERROR(__xludf.DUMMYFUNCTION("""COMPUTED_VALUE"""),1.0)</f>
        <v>1</v>
      </c>
    </row>
    <row r="3760">
      <c r="A3760" s="1">
        <f>IFERROR(__xludf.DUMMYFUNCTION("""COMPUTED_VALUE"""),872182.0)</f>
        <v>872182</v>
      </c>
      <c r="B3760" s="2">
        <f>IFERROR(__xludf.DUMMYFUNCTION("""COMPUTED_VALUE"""),42752.9330253109)</f>
        <v>42752.93303</v>
      </c>
      <c r="C3760" s="1" t="str">
        <f>IFERROR(__xludf.DUMMYFUNCTION("""COMPUTED_VALUE"""),"control")</f>
        <v>control</v>
      </c>
      <c r="D3760" s="1" t="str">
        <f>IFERROR(__xludf.DUMMYFUNCTION("""COMPUTED_VALUE"""),"old_page")</f>
        <v>old_page</v>
      </c>
      <c r="E3760" s="1">
        <f>IFERROR(__xludf.DUMMYFUNCTION("""COMPUTED_VALUE"""),0.0)</f>
        <v>0</v>
      </c>
    </row>
    <row r="3761">
      <c r="A3761" s="1">
        <f>IFERROR(__xludf.DUMMYFUNCTION("""COMPUTED_VALUE"""),837289.0)</f>
        <v>837289</v>
      </c>
      <c r="B3761" s="2">
        <f>IFERROR(__xludf.DUMMYFUNCTION("""COMPUTED_VALUE"""),42743.705750991125)</f>
        <v>42743.70575</v>
      </c>
      <c r="C3761" s="1" t="str">
        <f>IFERROR(__xludf.DUMMYFUNCTION("""COMPUTED_VALUE"""),"control")</f>
        <v>control</v>
      </c>
      <c r="D3761" s="1" t="str">
        <f>IFERROR(__xludf.DUMMYFUNCTION("""COMPUTED_VALUE"""),"old_page")</f>
        <v>old_page</v>
      </c>
      <c r="E3761" s="1">
        <f>IFERROR(__xludf.DUMMYFUNCTION("""COMPUTED_VALUE"""),0.0)</f>
        <v>0</v>
      </c>
    </row>
    <row r="3762">
      <c r="A3762" s="1">
        <f>IFERROR(__xludf.DUMMYFUNCTION("""COMPUTED_VALUE"""),874316.0)</f>
        <v>874316</v>
      </c>
      <c r="B3762" s="2">
        <f>IFERROR(__xludf.DUMMYFUNCTION("""COMPUTED_VALUE"""),42755.76162025303)</f>
        <v>42755.76162</v>
      </c>
      <c r="C3762" s="1" t="str">
        <f>IFERROR(__xludf.DUMMYFUNCTION("""COMPUTED_VALUE"""),"control")</f>
        <v>control</v>
      </c>
      <c r="D3762" s="1" t="str">
        <f>IFERROR(__xludf.DUMMYFUNCTION("""COMPUTED_VALUE"""),"old_page")</f>
        <v>old_page</v>
      </c>
      <c r="E3762" s="1">
        <f>IFERROR(__xludf.DUMMYFUNCTION("""COMPUTED_VALUE"""),0.0)</f>
        <v>0</v>
      </c>
    </row>
    <row r="3763">
      <c r="A3763" s="1">
        <f>IFERROR(__xludf.DUMMYFUNCTION("""COMPUTED_VALUE"""),837189.0)</f>
        <v>837189</v>
      </c>
      <c r="B3763" s="2">
        <f>IFERROR(__xludf.DUMMYFUNCTION("""COMPUTED_VALUE"""),42748.6827351474)</f>
        <v>42748.68274</v>
      </c>
      <c r="C3763" s="1" t="str">
        <f>IFERROR(__xludf.DUMMYFUNCTION("""COMPUTED_VALUE"""),"treatment")</f>
        <v>treatment</v>
      </c>
      <c r="D3763" s="1" t="str">
        <f>IFERROR(__xludf.DUMMYFUNCTION("""COMPUTED_VALUE"""),"new_page")</f>
        <v>new_page</v>
      </c>
      <c r="E3763" s="1">
        <f>IFERROR(__xludf.DUMMYFUNCTION("""COMPUTED_VALUE"""),0.0)</f>
        <v>0</v>
      </c>
    </row>
    <row r="3764">
      <c r="A3764" s="1">
        <f>IFERROR(__xludf.DUMMYFUNCTION("""COMPUTED_VALUE"""),702531.0)</f>
        <v>702531</v>
      </c>
      <c r="B3764" s="2">
        <f>IFERROR(__xludf.DUMMYFUNCTION("""COMPUTED_VALUE"""),42748.31852072862)</f>
        <v>42748.31852</v>
      </c>
      <c r="C3764" s="1" t="str">
        <f>IFERROR(__xludf.DUMMYFUNCTION("""COMPUTED_VALUE"""),"control")</f>
        <v>control</v>
      </c>
      <c r="D3764" s="1" t="str">
        <f>IFERROR(__xludf.DUMMYFUNCTION("""COMPUTED_VALUE"""),"old_page")</f>
        <v>old_page</v>
      </c>
      <c r="E3764" s="1">
        <f>IFERROR(__xludf.DUMMYFUNCTION("""COMPUTED_VALUE"""),0.0)</f>
        <v>0</v>
      </c>
    </row>
    <row r="3765">
      <c r="A3765" s="1">
        <f>IFERROR(__xludf.DUMMYFUNCTION("""COMPUTED_VALUE"""),887628.0)</f>
        <v>887628</v>
      </c>
      <c r="B3765" s="2">
        <f>IFERROR(__xludf.DUMMYFUNCTION("""COMPUTED_VALUE"""),42739.4932474099)</f>
        <v>42739.49325</v>
      </c>
      <c r="C3765" s="1" t="str">
        <f>IFERROR(__xludf.DUMMYFUNCTION("""COMPUTED_VALUE"""),"control")</f>
        <v>control</v>
      </c>
      <c r="D3765" s="1" t="str">
        <f>IFERROR(__xludf.DUMMYFUNCTION("""COMPUTED_VALUE"""),"old_page")</f>
        <v>old_page</v>
      </c>
      <c r="E3765" s="1">
        <f>IFERROR(__xludf.DUMMYFUNCTION("""COMPUTED_VALUE"""),0.0)</f>
        <v>0</v>
      </c>
    </row>
    <row r="3766">
      <c r="A3766" s="1">
        <f>IFERROR(__xludf.DUMMYFUNCTION("""COMPUTED_VALUE"""),789469.0)</f>
        <v>789469</v>
      </c>
      <c r="B3766" s="2">
        <f>IFERROR(__xludf.DUMMYFUNCTION("""COMPUTED_VALUE"""),42743.57094471398)</f>
        <v>42743.57094</v>
      </c>
      <c r="C3766" s="1" t="str">
        <f>IFERROR(__xludf.DUMMYFUNCTION("""COMPUTED_VALUE"""),"control")</f>
        <v>control</v>
      </c>
      <c r="D3766" s="1" t="str">
        <f>IFERROR(__xludf.DUMMYFUNCTION("""COMPUTED_VALUE"""),"old_page")</f>
        <v>old_page</v>
      </c>
      <c r="E3766" s="1">
        <f>IFERROR(__xludf.DUMMYFUNCTION("""COMPUTED_VALUE"""),0.0)</f>
        <v>0</v>
      </c>
    </row>
    <row r="3767">
      <c r="A3767" s="1">
        <f>IFERROR(__xludf.DUMMYFUNCTION("""COMPUTED_VALUE"""),722044.0)</f>
        <v>722044</v>
      </c>
      <c r="B3767" s="2">
        <f>IFERROR(__xludf.DUMMYFUNCTION("""COMPUTED_VALUE"""),42750.87315436425)</f>
        <v>42750.87315</v>
      </c>
      <c r="C3767" s="1" t="str">
        <f>IFERROR(__xludf.DUMMYFUNCTION("""COMPUTED_VALUE"""),"control")</f>
        <v>control</v>
      </c>
      <c r="D3767" s="1" t="str">
        <f>IFERROR(__xludf.DUMMYFUNCTION("""COMPUTED_VALUE"""),"old_page")</f>
        <v>old_page</v>
      </c>
      <c r="E3767" s="1">
        <f>IFERROR(__xludf.DUMMYFUNCTION("""COMPUTED_VALUE"""),0.0)</f>
        <v>0</v>
      </c>
    </row>
    <row r="3768">
      <c r="A3768" s="1">
        <f>IFERROR(__xludf.DUMMYFUNCTION("""COMPUTED_VALUE"""),848027.0)</f>
        <v>848027</v>
      </c>
      <c r="B3768" s="2">
        <f>IFERROR(__xludf.DUMMYFUNCTION("""COMPUTED_VALUE"""),42758.72922803943)</f>
        <v>42758.72923</v>
      </c>
      <c r="C3768" s="1" t="str">
        <f>IFERROR(__xludf.DUMMYFUNCTION("""COMPUTED_VALUE"""),"treatment")</f>
        <v>treatment</v>
      </c>
      <c r="D3768" s="1" t="str">
        <f>IFERROR(__xludf.DUMMYFUNCTION("""COMPUTED_VALUE"""),"new_page")</f>
        <v>new_page</v>
      </c>
      <c r="E3768" s="1">
        <f>IFERROR(__xludf.DUMMYFUNCTION("""COMPUTED_VALUE"""),0.0)</f>
        <v>0</v>
      </c>
    </row>
    <row r="3769">
      <c r="A3769" s="1">
        <f>IFERROR(__xludf.DUMMYFUNCTION("""COMPUTED_VALUE"""),778372.0)</f>
        <v>778372</v>
      </c>
      <c r="B3769" s="2">
        <f>IFERROR(__xludf.DUMMYFUNCTION("""COMPUTED_VALUE"""),42751.28778980991)</f>
        <v>42751.28779</v>
      </c>
      <c r="C3769" s="1" t="str">
        <f>IFERROR(__xludf.DUMMYFUNCTION("""COMPUTED_VALUE"""),"treatment")</f>
        <v>treatment</v>
      </c>
      <c r="D3769" s="1" t="str">
        <f>IFERROR(__xludf.DUMMYFUNCTION("""COMPUTED_VALUE"""),"new_page")</f>
        <v>new_page</v>
      </c>
      <c r="E3769" s="1">
        <f>IFERROR(__xludf.DUMMYFUNCTION("""COMPUTED_VALUE"""),1.0)</f>
        <v>1</v>
      </c>
    </row>
    <row r="3770">
      <c r="A3770" s="1">
        <f>IFERROR(__xludf.DUMMYFUNCTION("""COMPUTED_VALUE"""),919981.0)</f>
        <v>919981</v>
      </c>
      <c r="B3770" s="2">
        <f>IFERROR(__xludf.DUMMYFUNCTION("""COMPUTED_VALUE"""),42752.94892643053)</f>
        <v>42752.94893</v>
      </c>
      <c r="C3770" s="1" t="str">
        <f>IFERROR(__xludf.DUMMYFUNCTION("""COMPUTED_VALUE"""),"treatment")</f>
        <v>treatment</v>
      </c>
      <c r="D3770" s="1" t="str">
        <f>IFERROR(__xludf.DUMMYFUNCTION("""COMPUTED_VALUE"""),"new_page")</f>
        <v>new_page</v>
      </c>
      <c r="E3770" s="1">
        <f>IFERROR(__xludf.DUMMYFUNCTION("""COMPUTED_VALUE"""),0.0)</f>
        <v>0</v>
      </c>
    </row>
    <row r="3771">
      <c r="A3771" s="1">
        <f>IFERROR(__xludf.DUMMYFUNCTION("""COMPUTED_VALUE"""),816843.0)</f>
        <v>816843</v>
      </c>
      <c r="B3771" s="2">
        <f>IFERROR(__xludf.DUMMYFUNCTION("""COMPUTED_VALUE"""),42746.09708074618)</f>
        <v>42746.09708</v>
      </c>
      <c r="C3771" s="1" t="str">
        <f>IFERROR(__xludf.DUMMYFUNCTION("""COMPUTED_VALUE"""),"control")</f>
        <v>control</v>
      </c>
      <c r="D3771" s="1" t="str">
        <f>IFERROR(__xludf.DUMMYFUNCTION("""COMPUTED_VALUE"""),"old_page")</f>
        <v>old_page</v>
      </c>
      <c r="E3771" s="1">
        <f>IFERROR(__xludf.DUMMYFUNCTION("""COMPUTED_VALUE"""),0.0)</f>
        <v>0</v>
      </c>
    </row>
    <row r="3772">
      <c r="A3772" s="1">
        <f>IFERROR(__xludf.DUMMYFUNCTION("""COMPUTED_VALUE"""),849356.0)</f>
        <v>849356</v>
      </c>
      <c r="B3772" s="2">
        <f>IFERROR(__xludf.DUMMYFUNCTION("""COMPUTED_VALUE"""),42749.69119619152)</f>
        <v>42749.6912</v>
      </c>
      <c r="C3772" s="1" t="str">
        <f>IFERROR(__xludf.DUMMYFUNCTION("""COMPUTED_VALUE"""),"control")</f>
        <v>control</v>
      </c>
      <c r="D3772" s="1" t="str">
        <f>IFERROR(__xludf.DUMMYFUNCTION("""COMPUTED_VALUE"""),"old_page")</f>
        <v>old_page</v>
      </c>
      <c r="E3772" s="1">
        <f>IFERROR(__xludf.DUMMYFUNCTION("""COMPUTED_VALUE"""),0.0)</f>
        <v>0</v>
      </c>
    </row>
    <row r="3773">
      <c r="A3773" s="1">
        <f>IFERROR(__xludf.DUMMYFUNCTION("""COMPUTED_VALUE"""),808340.0)</f>
        <v>808340</v>
      </c>
      <c r="B3773" s="2">
        <f>IFERROR(__xludf.DUMMYFUNCTION("""COMPUTED_VALUE"""),42757.828432122486)</f>
        <v>42757.82843</v>
      </c>
      <c r="C3773" s="1" t="str">
        <f>IFERROR(__xludf.DUMMYFUNCTION("""COMPUTED_VALUE"""),"treatment")</f>
        <v>treatment</v>
      </c>
      <c r="D3773" s="1" t="str">
        <f>IFERROR(__xludf.DUMMYFUNCTION("""COMPUTED_VALUE"""),"new_page")</f>
        <v>new_page</v>
      </c>
      <c r="E3773" s="1">
        <f>IFERROR(__xludf.DUMMYFUNCTION("""COMPUTED_VALUE"""),0.0)</f>
        <v>0</v>
      </c>
    </row>
    <row r="3774">
      <c r="A3774" s="1">
        <f>IFERROR(__xludf.DUMMYFUNCTION("""COMPUTED_VALUE"""),750403.0)</f>
        <v>750403</v>
      </c>
      <c r="B3774" s="2">
        <f>IFERROR(__xludf.DUMMYFUNCTION("""COMPUTED_VALUE"""),42750.68463313554)</f>
        <v>42750.68463</v>
      </c>
      <c r="C3774" s="1" t="str">
        <f>IFERROR(__xludf.DUMMYFUNCTION("""COMPUTED_VALUE"""),"control")</f>
        <v>control</v>
      </c>
      <c r="D3774" s="1" t="str">
        <f>IFERROR(__xludf.DUMMYFUNCTION("""COMPUTED_VALUE"""),"old_page")</f>
        <v>old_page</v>
      </c>
      <c r="E3774" s="1">
        <f>IFERROR(__xludf.DUMMYFUNCTION("""COMPUTED_VALUE"""),0.0)</f>
        <v>0</v>
      </c>
    </row>
    <row r="3775">
      <c r="A3775" s="1">
        <f>IFERROR(__xludf.DUMMYFUNCTION("""COMPUTED_VALUE"""),928582.0)</f>
        <v>928582</v>
      </c>
      <c r="B3775" s="2">
        <f>IFERROR(__xludf.DUMMYFUNCTION("""COMPUTED_VALUE"""),42757.54936298771)</f>
        <v>42757.54936</v>
      </c>
      <c r="C3775" s="1" t="str">
        <f>IFERROR(__xludf.DUMMYFUNCTION("""COMPUTED_VALUE"""),"treatment")</f>
        <v>treatment</v>
      </c>
      <c r="D3775" s="1" t="str">
        <f>IFERROR(__xludf.DUMMYFUNCTION("""COMPUTED_VALUE"""),"new_page")</f>
        <v>new_page</v>
      </c>
      <c r="E3775" s="1">
        <f>IFERROR(__xludf.DUMMYFUNCTION("""COMPUTED_VALUE"""),0.0)</f>
        <v>0</v>
      </c>
    </row>
    <row r="3776">
      <c r="A3776" s="1">
        <f>IFERROR(__xludf.DUMMYFUNCTION("""COMPUTED_VALUE"""),675695.0)</f>
        <v>675695</v>
      </c>
      <c r="B3776" s="2">
        <f>IFERROR(__xludf.DUMMYFUNCTION("""COMPUTED_VALUE"""),42745.69855277685)</f>
        <v>42745.69855</v>
      </c>
      <c r="C3776" s="1" t="str">
        <f>IFERROR(__xludf.DUMMYFUNCTION("""COMPUTED_VALUE"""),"treatment")</f>
        <v>treatment</v>
      </c>
      <c r="D3776" s="1" t="str">
        <f>IFERROR(__xludf.DUMMYFUNCTION("""COMPUTED_VALUE"""),"new_page")</f>
        <v>new_page</v>
      </c>
      <c r="E3776" s="1">
        <f>IFERROR(__xludf.DUMMYFUNCTION("""COMPUTED_VALUE"""),0.0)</f>
        <v>0</v>
      </c>
    </row>
    <row r="3777">
      <c r="A3777" s="1">
        <f>IFERROR(__xludf.DUMMYFUNCTION("""COMPUTED_VALUE"""),746398.0)</f>
        <v>746398</v>
      </c>
      <c r="B3777" s="2">
        <f>IFERROR(__xludf.DUMMYFUNCTION("""COMPUTED_VALUE"""),42752.982962683076)</f>
        <v>42752.98296</v>
      </c>
      <c r="C3777" s="1" t="str">
        <f>IFERROR(__xludf.DUMMYFUNCTION("""COMPUTED_VALUE"""),"treatment")</f>
        <v>treatment</v>
      </c>
      <c r="D3777" s="1" t="str">
        <f>IFERROR(__xludf.DUMMYFUNCTION("""COMPUTED_VALUE"""),"new_page")</f>
        <v>new_page</v>
      </c>
      <c r="E3777" s="1">
        <f>IFERROR(__xludf.DUMMYFUNCTION("""COMPUTED_VALUE"""),1.0)</f>
        <v>1</v>
      </c>
    </row>
    <row r="3778">
      <c r="A3778" s="1">
        <f>IFERROR(__xludf.DUMMYFUNCTION("""COMPUTED_VALUE"""),700666.0)</f>
        <v>700666</v>
      </c>
      <c r="B3778" s="2">
        <f>IFERROR(__xludf.DUMMYFUNCTION("""COMPUTED_VALUE"""),42750.415215844616)</f>
        <v>42750.41522</v>
      </c>
      <c r="C3778" s="1" t="str">
        <f>IFERROR(__xludf.DUMMYFUNCTION("""COMPUTED_VALUE"""),"treatment")</f>
        <v>treatment</v>
      </c>
      <c r="D3778" s="1" t="str">
        <f>IFERROR(__xludf.DUMMYFUNCTION("""COMPUTED_VALUE"""),"new_page")</f>
        <v>new_page</v>
      </c>
      <c r="E3778" s="1">
        <f>IFERROR(__xludf.DUMMYFUNCTION("""COMPUTED_VALUE"""),1.0)</f>
        <v>1</v>
      </c>
    </row>
    <row r="3779">
      <c r="A3779" s="1">
        <f>IFERROR(__xludf.DUMMYFUNCTION("""COMPUTED_VALUE"""),762351.0)</f>
        <v>762351</v>
      </c>
      <c r="B3779" s="2">
        <f>IFERROR(__xludf.DUMMYFUNCTION("""COMPUTED_VALUE"""),42739.33166139427)</f>
        <v>42739.33166</v>
      </c>
      <c r="C3779" s="1" t="str">
        <f>IFERROR(__xludf.DUMMYFUNCTION("""COMPUTED_VALUE"""),"control")</f>
        <v>control</v>
      </c>
      <c r="D3779" s="1" t="str">
        <f>IFERROR(__xludf.DUMMYFUNCTION("""COMPUTED_VALUE"""),"old_page")</f>
        <v>old_page</v>
      </c>
      <c r="E3779" s="1">
        <f>IFERROR(__xludf.DUMMYFUNCTION("""COMPUTED_VALUE"""),0.0)</f>
        <v>0</v>
      </c>
    </row>
    <row r="3780">
      <c r="A3780" s="1">
        <f>IFERROR(__xludf.DUMMYFUNCTION("""COMPUTED_VALUE"""),702166.0)</f>
        <v>702166</v>
      </c>
      <c r="B3780" s="2">
        <f>IFERROR(__xludf.DUMMYFUNCTION("""COMPUTED_VALUE"""),42743.230926036355)</f>
        <v>42743.23093</v>
      </c>
      <c r="C3780" s="1" t="str">
        <f>IFERROR(__xludf.DUMMYFUNCTION("""COMPUTED_VALUE"""),"treatment")</f>
        <v>treatment</v>
      </c>
      <c r="D3780" s="1" t="str">
        <f>IFERROR(__xludf.DUMMYFUNCTION("""COMPUTED_VALUE"""),"new_page")</f>
        <v>new_page</v>
      </c>
      <c r="E3780" s="1">
        <f>IFERROR(__xludf.DUMMYFUNCTION("""COMPUTED_VALUE"""),0.0)</f>
        <v>0</v>
      </c>
    </row>
    <row r="3781">
      <c r="A3781" s="1">
        <f>IFERROR(__xludf.DUMMYFUNCTION("""COMPUTED_VALUE"""),863934.0)</f>
        <v>863934</v>
      </c>
      <c r="B3781" s="2">
        <f>IFERROR(__xludf.DUMMYFUNCTION("""COMPUTED_VALUE"""),42749.73490686507)</f>
        <v>42749.73491</v>
      </c>
      <c r="C3781" s="1" t="str">
        <f>IFERROR(__xludf.DUMMYFUNCTION("""COMPUTED_VALUE"""),"control")</f>
        <v>control</v>
      </c>
      <c r="D3781" s="1" t="str">
        <f>IFERROR(__xludf.DUMMYFUNCTION("""COMPUTED_VALUE"""),"old_page")</f>
        <v>old_page</v>
      </c>
      <c r="E3781" s="1">
        <f>IFERROR(__xludf.DUMMYFUNCTION("""COMPUTED_VALUE"""),1.0)</f>
        <v>1</v>
      </c>
    </row>
    <row r="3782">
      <c r="A3782" s="1">
        <f>IFERROR(__xludf.DUMMYFUNCTION("""COMPUTED_VALUE"""),725664.0)</f>
        <v>725664</v>
      </c>
      <c r="B3782" s="2">
        <f>IFERROR(__xludf.DUMMYFUNCTION("""COMPUTED_VALUE"""),42743.74958997037)</f>
        <v>42743.74959</v>
      </c>
      <c r="C3782" s="1" t="str">
        <f>IFERROR(__xludf.DUMMYFUNCTION("""COMPUTED_VALUE"""),"treatment")</f>
        <v>treatment</v>
      </c>
      <c r="D3782" s="1" t="str">
        <f>IFERROR(__xludf.DUMMYFUNCTION("""COMPUTED_VALUE"""),"new_page")</f>
        <v>new_page</v>
      </c>
      <c r="E3782" s="1">
        <f>IFERROR(__xludf.DUMMYFUNCTION("""COMPUTED_VALUE"""),0.0)</f>
        <v>0</v>
      </c>
    </row>
    <row r="3783">
      <c r="A3783" s="1">
        <f>IFERROR(__xludf.DUMMYFUNCTION("""COMPUTED_VALUE"""),692470.0)</f>
        <v>692470</v>
      </c>
      <c r="B3783" s="2">
        <f>IFERROR(__xludf.DUMMYFUNCTION("""COMPUTED_VALUE"""),42741.69172677183)</f>
        <v>42741.69173</v>
      </c>
      <c r="C3783" s="1" t="str">
        <f>IFERROR(__xludf.DUMMYFUNCTION("""COMPUTED_VALUE"""),"treatment")</f>
        <v>treatment</v>
      </c>
      <c r="D3783" s="1" t="str">
        <f>IFERROR(__xludf.DUMMYFUNCTION("""COMPUTED_VALUE"""),"new_page")</f>
        <v>new_page</v>
      </c>
      <c r="E3783" s="1">
        <f>IFERROR(__xludf.DUMMYFUNCTION("""COMPUTED_VALUE"""),0.0)</f>
        <v>0</v>
      </c>
    </row>
    <row r="3784">
      <c r="A3784" s="1">
        <f>IFERROR(__xludf.DUMMYFUNCTION("""COMPUTED_VALUE"""),806749.0)</f>
        <v>806749</v>
      </c>
      <c r="B3784" s="2">
        <f>IFERROR(__xludf.DUMMYFUNCTION("""COMPUTED_VALUE"""),42753.51048298763)</f>
        <v>42753.51048</v>
      </c>
      <c r="C3784" s="1" t="str">
        <f>IFERROR(__xludf.DUMMYFUNCTION("""COMPUTED_VALUE"""),"control")</f>
        <v>control</v>
      </c>
      <c r="D3784" s="1" t="str">
        <f>IFERROR(__xludf.DUMMYFUNCTION("""COMPUTED_VALUE"""),"old_page")</f>
        <v>old_page</v>
      </c>
      <c r="E3784" s="1">
        <f>IFERROR(__xludf.DUMMYFUNCTION("""COMPUTED_VALUE"""),1.0)</f>
        <v>1</v>
      </c>
    </row>
    <row r="3785">
      <c r="A3785" s="1">
        <f>IFERROR(__xludf.DUMMYFUNCTION("""COMPUTED_VALUE"""),665407.0)</f>
        <v>665407</v>
      </c>
      <c r="B3785" s="2">
        <f>IFERROR(__xludf.DUMMYFUNCTION("""COMPUTED_VALUE"""),42746.573418372696)</f>
        <v>42746.57342</v>
      </c>
      <c r="C3785" s="1" t="str">
        <f>IFERROR(__xludf.DUMMYFUNCTION("""COMPUTED_VALUE"""),"control")</f>
        <v>control</v>
      </c>
      <c r="D3785" s="1" t="str">
        <f>IFERROR(__xludf.DUMMYFUNCTION("""COMPUTED_VALUE"""),"old_page")</f>
        <v>old_page</v>
      </c>
      <c r="E3785" s="1">
        <f>IFERROR(__xludf.DUMMYFUNCTION("""COMPUTED_VALUE"""),0.0)</f>
        <v>0</v>
      </c>
    </row>
    <row r="3786">
      <c r="A3786" s="1">
        <f>IFERROR(__xludf.DUMMYFUNCTION("""COMPUTED_VALUE"""),687550.0)</f>
        <v>687550</v>
      </c>
      <c r="B3786" s="2">
        <f>IFERROR(__xludf.DUMMYFUNCTION("""COMPUTED_VALUE"""),42758.20639409381)</f>
        <v>42758.20639</v>
      </c>
      <c r="C3786" s="1" t="str">
        <f>IFERROR(__xludf.DUMMYFUNCTION("""COMPUTED_VALUE"""),"control")</f>
        <v>control</v>
      </c>
      <c r="D3786" s="1" t="str">
        <f>IFERROR(__xludf.DUMMYFUNCTION("""COMPUTED_VALUE"""),"old_page")</f>
        <v>old_page</v>
      </c>
      <c r="E3786" s="1">
        <f>IFERROR(__xludf.DUMMYFUNCTION("""COMPUTED_VALUE"""),0.0)</f>
        <v>0</v>
      </c>
    </row>
    <row r="3787">
      <c r="A3787" s="1">
        <f>IFERROR(__xludf.DUMMYFUNCTION("""COMPUTED_VALUE"""),692301.0)</f>
        <v>692301</v>
      </c>
      <c r="B3787" s="2">
        <f>IFERROR(__xludf.DUMMYFUNCTION("""COMPUTED_VALUE"""),42758.151184417045)</f>
        <v>42758.15118</v>
      </c>
      <c r="C3787" s="1" t="str">
        <f>IFERROR(__xludf.DUMMYFUNCTION("""COMPUTED_VALUE"""),"control")</f>
        <v>control</v>
      </c>
      <c r="D3787" s="1" t="str">
        <f>IFERROR(__xludf.DUMMYFUNCTION("""COMPUTED_VALUE"""),"old_page")</f>
        <v>old_page</v>
      </c>
      <c r="E3787" s="1">
        <f>IFERROR(__xludf.DUMMYFUNCTION("""COMPUTED_VALUE"""),0.0)</f>
        <v>0</v>
      </c>
    </row>
    <row r="3788">
      <c r="A3788" s="1">
        <f>IFERROR(__xludf.DUMMYFUNCTION("""COMPUTED_VALUE"""),693874.0)</f>
        <v>693874</v>
      </c>
      <c r="B3788" s="2">
        <f>IFERROR(__xludf.DUMMYFUNCTION("""COMPUTED_VALUE"""),42754.34379490727)</f>
        <v>42754.34379</v>
      </c>
      <c r="C3788" s="1" t="str">
        <f>IFERROR(__xludf.DUMMYFUNCTION("""COMPUTED_VALUE"""),"treatment")</f>
        <v>treatment</v>
      </c>
      <c r="D3788" s="1" t="str">
        <f>IFERROR(__xludf.DUMMYFUNCTION("""COMPUTED_VALUE"""),"new_page")</f>
        <v>new_page</v>
      </c>
      <c r="E3788" s="1">
        <f>IFERROR(__xludf.DUMMYFUNCTION("""COMPUTED_VALUE"""),1.0)</f>
        <v>1</v>
      </c>
    </row>
    <row r="3789">
      <c r="A3789" s="1">
        <f>IFERROR(__xludf.DUMMYFUNCTION("""COMPUTED_VALUE"""),792052.0)</f>
        <v>792052</v>
      </c>
      <c r="B3789" s="2">
        <f>IFERROR(__xludf.DUMMYFUNCTION("""COMPUTED_VALUE"""),42740.39763066761)</f>
        <v>42740.39763</v>
      </c>
      <c r="C3789" s="1" t="str">
        <f>IFERROR(__xludf.DUMMYFUNCTION("""COMPUTED_VALUE"""),"treatment")</f>
        <v>treatment</v>
      </c>
      <c r="D3789" s="1" t="str">
        <f>IFERROR(__xludf.DUMMYFUNCTION("""COMPUTED_VALUE"""),"new_page")</f>
        <v>new_page</v>
      </c>
      <c r="E3789" s="1">
        <f>IFERROR(__xludf.DUMMYFUNCTION("""COMPUTED_VALUE"""),0.0)</f>
        <v>0</v>
      </c>
    </row>
    <row r="3790">
      <c r="A3790" s="1">
        <f>IFERROR(__xludf.DUMMYFUNCTION("""COMPUTED_VALUE"""),709912.0)</f>
        <v>709912</v>
      </c>
      <c r="B3790" s="2">
        <f>IFERROR(__xludf.DUMMYFUNCTION("""COMPUTED_VALUE"""),42752.732170671734)</f>
        <v>42752.73217</v>
      </c>
      <c r="C3790" s="1" t="str">
        <f>IFERROR(__xludf.DUMMYFUNCTION("""COMPUTED_VALUE"""),"control")</f>
        <v>control</v>
      </c>
      <c r="D3790" s="1" t="str">
        <f>IFERROR(__xludf.DUMMYFUNCTION("""COMPUTED_VALUE"""),"old_page")</f>
        <v>old_page</v>
      </c>
      <c r="E3790" s="1">
        <f>IFERROR(__xludf.DUMMYFUNCTION("""COMPUTED_VALUE"""),0.0)</f>
        <v>0</v>
      </c>
    </row>
    <row r="3791">
      <c r="A3791" s="1">
        <f>IFERROR(__xludf.DUMMYFUNCTION("""COMPUTED_VALUE"""),661854.0)</f>
        <v>661854</v>
      </c>
      <c r="B3791" s="2">
        <f>IFERROR(__xludf.DUMMYFUNCTION("""COMPUTED_VALUE"""),42744.92017401345)</f>
        <v>42744.92017</v>
      </c>
      <c r="C3791" s="1" t="str">
        <f>IFERROR(__xludf.DUMMYFUNCTION("""COMPUTED_VALUE"""),"treatment")</f>
        <v>treatment</v>
      </c>
      <c r="D3791" s="1" t="str">
        <f>IFERROR(__xludf.DUMMYFUNCTION("""COMPUTED_VALUE"""),"new_page")</f>
        <v>new_page</v>
      </c>
      <c r="E3791" s="1">
        <f>IFERROR(__xludf.DUMMYFUNCTION("""COMPUTED_VALUE"""),0.0)</f>
        <v>0</v>
      </c>
    </row>
    <row r="3792">
      <c r="A3792" s="1">
        <f>IFERROR(__xludf.DUMMYFUNCTION("""COMPUTED_VALUE"""),945186.0)</f>
        <v>945186</v>
      </c>
      <c r="B3792" s="2">
        <f>IFERROR(__xludf.DUMMYFUNCTION("""COMPUTED_VALUE"""),42758.33558784696)</f>
        <v>42758.33559</v>
      </c>
      <c r="C3792" s="1" t="str">
        <f>IFERROR(__xludf.DUMMYFUNCTION("""COMPUTED_VALUE"""),"control")</f>
        <v>control</v>
      </c>
      <c r="D3792" s="1" t="str">
        <f>IFERROR(__xludf.DUMMYFUNCTION("""COMPUTED_VALUE"""),"old_page")</f>
        <v>old_page</v>
      </c>
      <c r="E3792" s="1">
        <f>IFERROR(__xludf.DUMMYFUNCTION("""COMPUTED_VALUE"""),0.0)</f>
        <v>0</v>
      </c>
    </row>
    <row r="3793">
      <c r="A3793" s="1">
        <f>IFERROR(__xludf.DUMMYFUNCTION("""COMPUTED_VALUE"""),679600.0)</f>
        <v>679600</v>
      </c>
      <c r="B3793" s="2">
        <f>IFERROR(__xludf.DUMMYFUNCTION("""COMPUTED_VALUE"""),42743.68700742893)</f>
        <v>42743.68701</v>
      </c>
      <c r="C3793" s="1" t="str">
        <f>IFERROR(__xludf.DUMMYFUNCTION("""COMPUTED_VALUE"""),"control")</f>
        <v>control</v>
      </c>
      <c r="D3793" s="1" t="str">
        <f>IFERROR(__xludf.DUMMYFUNCTION("""COMPUTED_VALUE"""),"old_page")</f>
        <v>old_page</v>
      </c>
      <c r="E3793" s="1">
        <f>IFERROR(__xludf.DUMMYFUNCTION("""COMPUTED_VALUE"""),0.0)</f>
        <v>0</v>
      </c>
    </row>
    <row r="3794">
      <c r="A3794" s="1">
        <f>IFERROR(__xludf.DUMMYFUNCTION("""COMPUTED_VALUE"""),755266.0)</f>
        <v>755266</v>
      </c>
      <c r="B3794" s="2">
        <f>IFERROR(__xludf.DUMMYFUNCTION("""COMPUTED_VALUE"""),42747.24788428887)</f>
        <v>42747.24788</v>
      </c>
      <c r="C3794" s="1" t="str">
        <f>IFERROR(__xludf.DUMMYFUNCTION("""COMPUTED_VALUE"""),"control")</f>
        <v>control</v>
      </c>
      <c r="D3794" s="1" t="str">
        <f>IFERROR(__xludf.DUMMYFUNCTION("""COMPUTED_VALUE"""),"old_page")</f>
        <v>old_page</v>
      </c>
      <c r="E3794" s="1">
        <f>IFERROR(__xludf.DUMMYFUNCTION("""COMPUTED_VALUE"""),0.0)</f>
        <v>0</v>
      </c>
    </row>
    <row r="3795">
      <c r="A3795" s="1">
        <f>IFERROR(__xludf.DUMMYFUNCTION("""COMPUTED_VALUE"""),863480.0)</f>
        <v>863480</v>
      </c>
      <c r="B3795" s="2">
        <f>IFERROR(__xludf.DUMMYFUNCTION("""COMPUTED_VALUE"""),42755.60937113626)</f>
        <v>42755.60937</v>
      </c>
      <c r="C3795" s="1" t="str">
        <f>IFERROR(__xludf.DUMMYFUNCTION("""COMPUTED_VALUE"""),"control")</f>
        <v>control</v>
      </c>
      <c r="D3795" s="1" t="str">
        <f>IFERROR(__xludf.DUMMYFUNCTION("""COMPUTED_VALUE"""),"old_page")</f>
        <v>old_page</v>
      </c>
      <c r="E3795" s="1">
        <f>IFERROR(__xludf.DUMMYFUNCTION("""COMPUTED_VALUE"""),0.0)</f>
        <v>0</v>
      </c>
    </row>
    <row r="3796">
      <c r="A3796" s="1">
        <f>IFERROR(__xludf.DUMMYFUNCTION("""COMPUTED_VALUE"""),854234.0)</f>
        <v>854234</v>
      </c>
      <c r="B3796" s="2">
        <f>IFERROR(__xludf.DUMMYFUNCTION("""COMPUTED_VALUE"""),42745.27368999333)</f>
        <v>42745.27369</v>
      </c>
      <c r="C3796" s="1" t="str">
        <f>IFERROR(__xludf.DUMMYFUNCTION("""COMPUTED_VALUE"""),"treatment")</f>
        <v>treatment</v>
      </c>
      <c r="D3796" s="1" t="str">
        <f>IFERROR(__xludf.DUMMYFUNCTION("""COMPUTED_VALUE"""),"new_page")</f>
        <v>new_page</v>
      </c>
      <c r="E3796" s="1">
        <f>IFERROR(__xludf.DUMMYFUNCTION("""COMPUTED_VALUE"""),0.0)</f>
        <v>0</v>
      </c>
    </row>
    <row r="3797">
      <c r="A3797" s="1">
        <f>IFERROR(__xludf.DUMMYFUNCTION("""COMPUTED_VALUE"""),918673.0)</f>
        <v>918673</v>
      </c>
      <c r="B3797" s="2">
        <f>IFERROR(__xludf.DUMMYFUNCTION("""COMPUTED_VALUE"""),42755.46028345924)</f>
        <v>42755.46028</v>
      </c>
      <c r="C3797" s="1" t="str">
        <f>IFERROR(__xludf.DUMMYFUNCTION("""COMPUTED_VALUE"""),"treatment")</f>
        <v>treatment</v>
      </c>
      <c r="D3797" s="1" t="str">
        <f>IFERROR(__xludf.DUMMYFUNCTION("""COMPUTED_VALUE"""),"new_page")</f>
        <v>new_page</v>
      </c>
      <c r="E3797" s="1">
        <f>IFERROR(__xludf.DUMMYFUNCTION("""COMPUTED_VALUE"""),0.0)</f>
        <v>0</v>
      </c>
    </row>
    <row r="3798">
      <c r="A3798" s="1">
        <f>IFERROR(__xludf.DUMMYFUNCTION("""COMPUTED_VALUE"""),933767.0)</f>
        <v>933767</v>
      </c>
      <c r="B3798" s="2">
        <f>IFERROR(__xludf.DUMMYFUNCTION("""COMPUTED_VALUE"""),42753.84321089713)</f>
        <v>42753.84321</v>
      </c>
      <c r="C3798" s="1" t="str">
        <f>IFERROR(__xludf.DUMMYFUNCTION("""COMPUTED_VALUE"""),"control")</f>
        <v>control</v>
      </c>
      <c r="D3798" s="1" t="str">
        <f>IFERROR(__xludf.DUMMYFUNCTION("""COMPUTED_VALUE"""),"old_page")</f>
        <v>old_page</v>
      </c>
      <c r="E3798" s="1">
        <f>IFERROR(__xludf.DUMMYFUNCTION("""COMPUTED_VALUE"""),0.0)</f>
        <v>0</v>
      </c>
    </row>
    <row r="3799">
      <c r="A3799" s="1">
        <f>IFERROR(__xludf.DUMMYFUNCTION("""COMPUTED_VALUE"""),862052.0)</f>
        <v>862052</v>
      </c>
      <c r="B3799" s="2">
        <f>IFERROR(__xludf.DUMMYFUNCTION("""COMPUTED_VALUE"""),42759.154476880656)</f>
        <v>42759.15448</v>
      </c>
      <c r="C3799" s="1" t="str">
        <f>IFERROR(__xludf.DUMMYFUNCTION("""COMPUTED_VALUE"""),"treatment")</f>
        <v>treatment</v>
      </c>
      <c r="D3799" s="1" t="str">
        <f>IFERROR(__xludf.DUMMYFUNCTION("""COMPUTED_VALUE"""),"new_page")</f>
        <v>new_page</v>
      </c>
      <c r="E3799" s="1">
        <f>IFERROR(__xludf.DUMMYFUNCTION("""COMPUTED_VALUE"""),1.0)</f>
        <v>1</v>
      </c>
    </row>
    <row r="3800">
      <c r="A3800" s="1">
        <f>IFERROR(__xludf.DUMMYFUNCTION("""COMPUTED_VALUE"""),786534.0)</f>
        <v>786534</v>
      </c>
      <c r="B3800" s="2">
        <f>IFERROR(__xludf.DUMMYFUNCTION("""COMPUTED_VALUE"""),42745.77605118598)</f>
        <v>42745.77605</v>
      </c>
      <c r="C3800" s="1" t="str">
        <f>IFERROR(__xludf.DUMMYFUNCTION("""COMPUTED_VALUE"""),"treatment")</f>
        <v>treatment</v>
      </c>
      <c r="D3800" s="1" t="str">
        <f>IFERROR(__xludf.DUMMYFUNCTION("""COMPUTED_VALUE"""),"new_page")</f>
        <v>new_page</v>
      </c>
      <c r="E3800" s="1">
        <f>IFERROR(__xludf.DUMMYFUNCTION("""COMPUTED_VALUE"""),0.0)</f>
        <v>0</v>
      </c>
    </row>
    <row r="3801">
      <c r="A3801" s="1">
        <f>IFERROR(__xludf.DUMMYFUNCTION("""COMPUTED_VALUE"""),751853.0)</f>
        <v>751853</v>
      </c>
      <c r="B3801" s="2">
        <f>IFERROR(__xludf.DUMMYFUNCTION("""COMPUTED_VALUE"""),42755.23933785615)</f>
        <v>42755.23934</v>
      </c>
      <c r="C3801" s="1" t="str">
        <f>IFERROR(__xludf.DUMMYFUNCTION("""COMPUTED_VALUE"""),"treatment")</f>
        <v>treatment</v>
      </c>
      <c r="D3801" s="1" t="str">
        <f>IFERROR(__xludf.DUMMYFUNCTION("""COMPUTED_VALUE"""),"new_page")</f>
        <v>new_page</v>
      </c>
      <c r="E3801" s="1">
        <f>IFERROR(__xludf.DUMMYFUNCTION("""COMPUTED_VALUE"""),0.0)</f>
        <v>0</v>
      </c>
    </row>
    <row r="3802">
      <c r="A3802" s="1">
        <f>IFERROR(__xludf.DUMMYFUNCTION("""COMPUTED_VALUE"""),927582.0)</f>
        <v>927582</v>
      </c>
      <c r="B3802" s="2">
        <f>IFERROR(__xludf.DUMMYFUNCTION("""COMPUTED_VALUE"""),42746.94200868818)</f>
        <v>42746.94201</v>
      </c>
      <c r="C3802" s="1" t="str">
        <f>IFERROR(__xludf.DUMMYFUNCTION("""COMPUTED_VALUE"""),"control")</f>
        <v>control</v>
      </c>
      <c r="D3802" s="1" t="str">
        <f>IFERROR(__xludf.DUMMYFUNCTION("""COMPUTED_VALUE"""),"old_page")</f>
        <v>old_page</v>
      </c>
      <c r="E3802" s="1">
        <f>IFERROR(__xludf.DUMMYFUNCTION("""COMPUTED_VALUE"""),0.0)</f>
        <v>0</v>
      </c>
    </row>
    <row r="3803">
      <c r="A3803" s="1">
        <f>IFERROR(__xludf.DUMMYFUNCTION("""COMPUTED_VALUE"""),670475.0)</f>
        <v>670475</v>
      </c>
      <c r="B3803" s="2">
        <f>IFERROR(__xludf.DUMMYFUNCTION("""COMPUTED_VALUE"""),42745.05201029273)</f>
        <v>42745.05201</v>
      </c>
      <c r="C3803" s="1" t="str">
        <f>IFERROR(__xludf.DUMMYFUNCTION("""COMPUTED_VALUE"""),"control")</f>
        <v>control</v>
      </c>
      <c r="D3803" s="1" t="str">
        <f>IFERROR(__xludf.DUMMYFUNCTION("""COMPUTED_VALUE"""),"old_page")</f>
        <v>old_page</v>
      </c>
      <c r="E3803" s="1">
        <f>IFERROR(__xludf.DUMMYFUNCTION("""COMPUTED_VALUE"""),0.0)</f>
        <v>0</v>
      </c>
    </row>
    <row r="3804">
      <c r="A3804" s="1">
        <f>IFERROR(__xludf.DUMMYFUNCTION("""COMPUTED_VALUE"""),860281.0)</f>
        <v>860281</v>
      </c>
      <c r="B3804" s="2">
        <f>IFERROR(__xludf.DUMMYFUNCTION("""COMPUTED_VALUE"""),42755.03862415939)</f>
        <v>42755.03862</v>
      </c>
      <c r="C3804" s="1" t="str">
        <f>IFERROR(__xludf.DUMMYFUNCTION("""COMPUTED_VALUE"""),"control")</f>
        <v>control</v>
      </c>
      <c r="D3804" s="1" t="str">
        <f>IFERROR(__xludf.DUMMYFUNCTION("""COMPUTED_VALUE"""),"old_page")</f>
        <v>old_page</v>
      </c>
      <c r="E3804" s="1">
        <f>IFERROR(__xludf.DUMMYFUNCTION("""COMPUTED_VALUE"""),0.0)</f>
        <v>0</v>
      </c>
    </row>
    <row r="3805">
      <c r="A3805" s="1">
        <f>IFERROR(__xludf.DUMMYFUNCTION("""COMPUTED_VALUE"""),790951.0)</f>
        <v>790951</v>
      </c>
      <c r="B3805" s="2">
        <f>IFERROR(__xludf.DUMMYFUNCTION("""COMPUTED_VALUE"""),42748.357208302965)</f>
        <v>42748.35721</v>
      </c>
      <c r="C3805" s="1" t="str">
        <f>IFERROR(__xludf.DUMMYFUNCTION("""COMPUTED_VALUE"""),"treatment")</f>
        <v>treatment</v>
      </c>
      <c r="D3805" s="1" t="str">
        <f>IFERROR(__xludf.DUMMYFUNCTION("""COMPUTED_VALUE"""),"new_page")</f>
        <v>new_page</v>
      </c>
      <c r="E3805" s="1">
        <f>IFERROR(__xludf.DUMMYFUNCTION("""COMPUTED_VALUE"""),0.0)</f>
        <v>0</v>
      </c>
    </row>
    <row r="3806">
      <c r="A3806" s="1">
        <f>IFERROR(__xludf.DUMMYFUNCTION("""COMPUTED_VALUE"""),909680.0)</f>
        <v>909680</v>
      </c>
      <c r="B3806" s="2">
        <f>IFERROR(__xludf.DUMMYFUNCTION("""COMPUTED_VALUE"""),42746.79225247074)</f>
        <v>42746.79225</v>
      </c>
      <c r="C3806" s="1" t="str">
        <f>IFERROR(__xludf.DUMMYFUNCTION("""COMPUTED_VALUE"""),"control")</f>
        <v>control</v>
      </c>
      <c r="D3806" s="1" t="str">
        <f>IFERROR(__xludf.DUMMYFUNCTION("""COMPUTED_VALUE"""),"old_page")</f>
        <v>old_page</v>
      </c>
      <c r="E3806" s="1">
        <f>IFERROR(__xludf.DUMMYFUNCTION("""COMPUTED_VALUE"""),1.0)</f>
        <v>1</v>
      </c>
    </row>
    <row r="3807">
      <c r="A3807" s="1">
        <f>IFERROR(__xludf.DUMMYFUNCTION("""COMPUTED_VALUE"""),915096.0)</f>
        <v>915096</v>
      </c>
      <c r="B3807" s="2">
        <f>IFERROR(__xludf.DUMMYFUNCTION("""COMPUTED_VALUE"""),42737.81094083312)</f>
        <v>42737.81094</v>
      </c>
      <c r="C3807" s="1" t="str">
        <f>IFERROR(__xludf.DUMMYFUNCTION("""COMPUTED_VALUE"""),"control")</f>
        <v>control</v>
      </c>
      <c r="D3807" s="1" t="str">
        <f>IFERROR(__xludf.DUMMYFUNCTION("""COMPUTED_VALUE"""),"old_page")</f>
        <v>old_page</v>
      </c>
      <c r="E3807" s="1">
        <f>IFERROR(__xludf.DUMMYFUNCTION("""COMPUTED_VALUE"""),0.0)</f>
        <v>0</v>
      </c>
    </row>
    <row r="3808">
      <c r="A3808" s="1">
        <f>IFERROR(__xludf.DUMMYFUNCTION("""COMPUTED_VALUE"""),631587.0)</f>
        <v>631587</v>
      </c>
      <c r="B3808" s="2">
        <f>IFERROR(__xludf.DUMMYFUNCTION("""COMPUTED_VALUE"""),42746.07191646139)</f>
        <v>42746.07192</v>
      </c>
      <c r="C3808" s="1" t="str">
        <f>IFERROR(__xludf.DUMMYFUNCTION("""COMPUTED_VALUE"""),"treatment")</f>
        <v>treatment</v>
      </c>
      <c r="D3808" s="1" t="str">
        <f>IFERROR(__xludf.DUMMYFUNCTION("""COMPUTED_VALUE"""),"new_page")</f>
        <v>new_page</v>
      </c>
      <c r="E3808" s="1">
        <f>IFERROR(__xludf.DUMMYFUNCTION("""COMPUTED_VALUE"""),0.0)</f>
        <v>0</v>
      </c>
    </row>
    <row r="3809">
      <c r="A3809" s="1">
        <f>IFERROR(__xludf.DUMMYFUNCTION("""COMPUTED_VALUE"""),928171.0)</f>
        <v>928171</v>
      </c>
      <c r="B3809" s="2">
        <f>IFERROR(__xludf.DUMMYFUNCTION("""COMPUTED_VALUE"""),42742.054738333776)</f>
        <v>42742.05474</v>
      </c>
      <c r="C3809" s="1" t="str">
        <f>IFERROR(__xludf.DUMMYFUNCTION("""COMPUTED_VALUE"""),"treatment")</f>
        <v>treatment</v>
      </c>
      <c r="D3809" s="1" t="str">
        <f>IFERROR(__xludf.DUMMYFUNCTION("""COMPUTED_VALUE"""),"new_page")</f>
        <v>new_page</v>
      </c>
      <c r="E3809" s="1">
        <f>IFERROR(__xludf.DUMMYFUNCTION("""COMPUTED_VALUE"""),0.0)</f>
        <v>0</v>
      </c>
    </row>
    <row r="3810">
      <c r="A3810" s="1">
        <f>IFERROR(__xludf.DUMMYFUNCTION("""COMPUTED_VALUE"""),929968.0)</f>
        <v>929968</v>
      </c>
      <c r="B3810" s="2">
        <f>IFERROR(__xludf.DUMMYFUNCTION("""COMPUTED_VALUE"""),42750.459974014164)</f>
        <v>42750.45997</v>
      </c>
      <c r="C3810" s="1" t="str">
        <f>IFERROR(__xludf.DUMMYFUNCTION("""COMPUTED_VALUE"""),"control")</f>
        <v>control</v>
      </c>
      <c r="D3810" s="1" t="str">
        <f>IFERROR(__xludf.DUMMYFUNCTION("""COMPUTED_VALUE"""),"old_page")</f>
        <v>old_page</v>
      </c>
      <c r="E3810" s="1">
        <f>IFERROR(__xludf.DUMMYFUNCTION("""COMPUTED_VALUE"""),0.0)</f>
        <v>0</v>
      </c>
    </row>
    <row r="3811">
      <c r="A3811" s="1">
        <f>IFERROR(__xludf.DUMMYFUNCTION("""COMPUTED_VALUE"""),666929.0)</f>
        <v>666929</v>
      </c>
      <c r="B3811" s="2">
        <f>IFERROR(__xludf.DUMMYFUNCTION("""COMPUTED_VALUE"""),42758.00451203276)</f>
        <v>42758.00451</v>
      </c>
      <c r="C3811" s="1" t="str">
        <f>IFERROR(__xludf.DUMMYFUNCTION("""COMPUTED_VALUE"""),"treatment")</f>
        <v>treatment</v>
      </c>
      <c r="D3811" s="1" t="str">
        <f>IFERROR(__xludf.DUMMYFUNCTION("""COMPUTED_VALUE"""),"new_page")</f>
        <v>new_page</v>
      </c>
      <c r="E3811" s="1">
        <f>IFERROR(__xludf.DUMMYFUNCTION("""COMPUTED_VALUE"""),0.0)</f>
        <v>0</v>
      </c>
    </row>
    <row r="3812">
      <c r="A3812" s="1">
        <f>IFERROR(__xludf.DUMMYFUNCTION("""COMPUTED_VALUE"""),687800.0)</f>
        <v>687800</v>
      </c>
      <c r="B3812" s="2">
        <f>IFERROR(__xludf.DUMMYFUNCTION("""COMPUTED_VALUE"""),42753.29564360443)</f>
        <v>42753.29564</v>
      </c>
      <c r="C3812" s="1" t="str">
        <f>IFERROR(__xludf.DUMMYFUNCTION("""COMPUTED_VALUE"""),"treatment")</f>
        <v>treatment</v>
      </c>
      <c r="D3812" s="1" t="str">
        <f>IFERROR(__xludf.DUMMYFUNCTION("""COMPUTED_VALUE"""),"new_page")</f>
        <v>new_page</v>
      </c>
      <c r="E3812" s="1">
        <f>IFERROR(__xludf.DUMMYFUNCTION("""COMPUTED_VALUE"""),0.0)</f>
        <v>0</v>
      </c>
    </row>
    <row r="3813">
      <c r="A3813" s="1">
        <f>IFERROR(__xludf.DUMMYFUNCTION("""COMPUTED_VALUE"""),741311.0)</f>
        <v>741311</v>
      </c>
      <c r="B3813" s="2">
        <f>IFERROR(__xludf.DUMMYFUNCTION("""COMPUTED_VALUE"""),42741.6299760401)</f>
        <v>42741.62998</v>
      </c>
      <c r="C3813" s="1" t="str">
        <f>IFERROR(__xludf.DUMMYFUNCTION("""COMPUTED_VALUE"""),"control")</f>
        <v>control</v>
      </c>
      <c r="D3813" s="1" t="str">
        <f>IFERROR(__xludf.DUMMYFUNCTION("""COMPUTED_VALUE"""),"old_page")</f>
        <v>old_page</v>
      </c>
      <c r="E3813" s="1">
        <f>IFERROR(__xludf.DUMMYFUNCTION("""COMPUTED_VALUE"""),0.0)</f>
        <v>0</v>
      </c>
    </row>
    <row r="3814">
      <c r="A3814" s="1">
        <f>IFERROR(__xludf.DUMMYFUNCTION("""COMPUTED_VALUE"""),719342.0)</f>
        <v>719342</v>
      </c>
      <c r="B3814" s="2">
        <f>IFERROR(__xludf.DUMMYFUNCTION("""COMPUTED_VALUE"""),42746.22976199378)</f>
        <v>42746.22976</v>
      </c>
      <c r="C3814" s="1" t="str">
        <f>IFERROR(__xludf.DUMMYFUNCTION("""COMPUTED_VALUE"""),"treatment")</f>
        <v>treatment</v>
      </c>
      <c r="D3814" s="1" t="str">
        <f>IFERROR(__xludf.DUMMYFUNCTION("""COMPUTED_VALUE"""),"new_page")</f>
        <v>new_page</v>
      </c>
      <c r="E3814" s="1">
        <f>IFERROR(__xludf.DUMMYFUNCTION("""COMPUTED_VALUE"""),0.0)</f>
        <v>0</v>
      </c>
    </row>
    <row r="3815">
      <c r="A3815" s="1">
        <f>IFERROR(__xludf.DUMMYFUNCTION("""COMPUTED_VALUE"""),678607.0)</f>
        <v>678607</v>
      </c>
      <c r="B3815" s="2">
        <f>IFERROR(__xludf.DUMMYFUNCTION("""COMPUTED_VALUE"""),42751.5711119278)</f>
        <v>42751.57111</v>
      </c>
      <c r="C3815" s="1" t="str">
        <f>IFERROR(__xludf.DUMMYFUNCTION("""COMPUTED_VALUE"""),"treatment")</f>
        <v>treatment</v>
      </c>
      <c r="D3815" s="1" t="str">
        <f>IFERROR(__xludf.DUMMYFUNCTION("""COMPUTED_VALUE"""),"new_page")</f>
        <v>new_page</v>
      </c>
      <c r="E3815" s="1">
        <f>IFERROR(__xludf.DUMMYFUNCTION("""COMPUTED_VALUE"""),0.0)</f>
        <v>0</v>
      </c>
    </row>
    <row r="3816">
      <c r="A3816" s="1">
        <f>IFERROR(__xludf.DUMMYFUNCTION("""COMPUTED_VALUE"""),934932.0)</f>
        <v>934932</v>
      </c>
      <c r="B3816" s="2">
        <f>IFERROR(__xludf.DUMMYFUNCTION("""COMPUTED_VALUE"""),42742.92962251891)</f>
        <v>42742.92962</v>
      </c>
      <c r="C3816" s="1" t="str">
        <f>IFERROR(__xludf.DUMMYFUNCTION("""COMPUTED_VALUE"""),"treatment")</f>
        <v>treatment</v>
      </c>
      <c r="D3816" s="1" t="str">
        <f>IFERROR(__xludf.DUMMYFUNCTION("""COMPUTED_VALUE"""),"new_page")</f>
        <v>new_page</v>
      </c>
      <c r="E3816" s="1">
        <f>IFERROR(__xludf.DUMMYFUNCTION("""COMPUTED_VALUE"""),0.0)</f>
        <v>0</v>
      </c>
    </row>
    <row r="3817">
      <c r="A3817" s="1">
        <f>IFERROR(__xludf.DUMMYFUNCTION("""COMPUTED_VALUE"""),703400.0)</f>
        <v>703400</v>
      </c>
      <c r="B3817" s="2">
        <f>IFERROR(__xludf.DUMMYFUNCTION("""COMPUTED_VALUE"""),42754.928502546114)</f>
        <v>42754.9285</v>
      </c>
      <c r="C3817" s="1" t="str">
        <f>IFERROR(__xludf.DUMMYFUNCTION("""COMPUTED_VALUE"""),"treatment")</f>
        <v>treatment</v>
      </c>
      <c r="D3817" s="1" t="str">
        <f>IFERROR(__xludf.DUMMYFUNCTION("""COMPUTED_VALUE"""),"new_page")</f>
        <v>new_page</v>
      </c>
      <c r="E3817" s="1">
        <f>IFERROR(__xludf.DUMMYFUNCTION("""COMPUTED_VALUE"""),0.0)</f>
        <v>0</v>
      </c>
    </row>
    <row r="3818">
      <c r="A3818" s="1">
        <f>IFERROR(__xludf.DUMMYFUNCTION("""COMPUTED_VALUE"""),821642.0)</f>
        <v>821642</v>
      </c>
      <c r="B3818" s="2">
        <f>IFERROR(__xludf.DUMMYFUNCTION("""COMPUTED_VALUE"""),42754.16562673613)</f>
        <v>42754.16563</v>
      </c>
      <c r="C3818" s="1" t="str">
        <f>IFERROR(__xludf.DUMMYFUNCTION("""COMPUTED_VALUE"""),"control")</f>
        <v>control</v>
      </c>
      <c r="D3818" s="1" t="str">
        <f>IFERROR(__xludf.DUMMYFUNCTION("""COMPUTED_VALUE"""),"old_page")</f>
        <v>old_page</v>
      </c>
      <c r="E3818" s="1">
        <f>IFERROR(__xludf.DUMMYFUNCTION("""COMPUTED_VALUE"""),0.0)</f>
        <v>0</v>
      </c>
    </row>
    <row r="3819">
      <c r="A3819" s="1">
        <f>IFERROR(__xludf.DUMMYFUNCTION("""COMPUTED_VALUE"""),832098.0)</f>
        <v>832098</v>
      </c>
      <c r="B3819" s="2">
        <f>IFERROR(__xludf.DUMMYFUNCTION("""COMPUTED_VALUE"""),42750.25446948272)</f>
        <v>42750.25447</v>
      </c>
      <c r="C3819" s="1" t="str">
        <f>IFERROR(__xludf.DUMMYFUNCTION("""COMPUTED_VALUE"""),"control")</f>
        <v>control</v>
      </c>
      <c r="D3819" s="1" t="str">
        <f>IFERROR(__xludf.DUMMYFUNCTION("""COMPUTED_VALUE"""),"new_page")</f>
        <v>new_page</v>
      </c>
      <c r="E3819" s="1">
        <f>IFERROR(__xludf.DUMMYFUNCTION("""COMPUTED_VALUE"""),0.0)</f>
        <v>0</v>
      </c>
    </row>
    <row r="3820">
      <c r="A3820" s="1">
        <f>IFERROR(__xludf.DUMMYFUNCTION("""COMPUTED_VALUE"""),937940.0)</f>
        <v>937940</v>
      </c>
      <c r="B3820" s="2">
        <f>IFERROR(__xludf.DUMMYFUNCTION("""COMPUTED_VALUE"""),42756.007253669326)</f>
        <v>42756.00725</v>
      </c>
      <c r="C3820" s="1" t="str">
        <f>IFERROR(__xludf.DUMMYFUNCTION("""COMPUTED_VALUE"""),"control")</f>
        <v>control</v>
      </c>
      <c r="D3820" s="1" t="str">
        <f>IFERROR(__xludf.DUMMYFUNCTION("""COMPUTED_VALUE"""),"old_page")</f>
        <v>old_page</v>
      </c>
      <c r="E3820" s="1">
        <f>IFERROR(__xludf.DUMMYFUNCTION("""COMPUTED_VALUE"""),0.0)</f>
        <v>0</v>
      </c>
    </row>
    <row r="3821">
      <c r="A3821" s="1">
        <f>IFERROR(__xludf.DUMMYFUNCTION("""COMPUTED_VALUE"""),895148.0)</f>
        <v>895148</v>
      </c>
      <c r="B3821" s="2">
        <f>IFERROR(__xludf.DUMMYFUNCTION("""COMPUTED_VALUE"""),42756.5451346716)</f>
        <v>42756.54513</v>
      </c>
      <c r="C3821" s="1" t="str">
        <f>IFERROR(__xludf.DUMMYFUNCTION("""COMPUTED_VALUE"""),"treatment")</f>
        <v>treatment</v>
      </c>
      <c r="D3821" s="1" t="str">
        <f>IFERROR(__xludf.DUMMYFUNCTION("""COMPUTED_VALUE"""),"new_page")</f>
        <v>new_page</v>
      </c>
      <c r="E3821" s="1">
        <f>IFERROR(__xludf.DUMMYFUNCTION("""COMPUTED_VALUE"""),0.0)</f>
        <v>0</v>
      </c>
    </row>
    <row r="3822">
      <c r="A3822" s="1">
        <f>IFERROR(__xludf.DUMMYFUNCTION("""COMPUTED_VALUE"""),821649.0)</f>
        <v>821649</v>
      </c>
      <c r="B3822" s="2">
        <f>IFERROR(__xludf.DUMMYFUNCTION("""COMPUTED_VALUE"""),42741.779331397534)</f>
        <v>42741.77933</v>
      </c>
      <c r="C3822" s="1" t="str">
        <f>IFERROR(__xludf.DUMMYFUNCTION("""COMPUTED_VALUE"""),"control")</f>
        <v>control</v>
      </c>
      <c r="D3822" s="1" t="str">
        <f>IFERROR(__xludf.DUMMYFUNCTION("""COMPUTED_VALUE"""),"old_page")</f>
        <v>old_page</v>
      </c>
      <c r="E3822" s="1">
        <f>IFERROR(__xludf.DUMMYFUNCTION("""COMPUTED_VALUE"""),0.0)</f>
        <v>0</v>
      </c>
    </row>
    <row r="3823">
      <c r="A3823" s="1">
        <f>IFERROR(__xludf.DUMMYFUNCTION("""COMPUTED_VALUE"""),721099.0)</f>
        <v>721099</v>
      </c>
      <c r="B3823" s="2">
        <f>IFERROR(__xludf.DUMMYFUNCTION("""COMPUTED_VALUE"""),42751.68394883473)</f>
        <v>42751.68395</v>
      </c>
      <c r="C3823" s="1" t="str">
        <f>IFERROR(__xludf.DUMMYFUNCTION("""COMPUTED_VALUE"""),"treatment")</f>
        <v>treatment</v>
      </c>
      <c r="D3823" s="1" t="str">
        <f>IFERROR(__xludf.DUMMYFUNCTION("""COMPUTED_VALUE"""),"new_page")</f>
        <v>new_page</v>
      </c>
      <c r="E3823" s="1">
        <f>IFERROR(__xludf.DUMMYFUNCTION("""COMPUTED_VALUE"""),0.0)</f>
        <v>0</v>
      </c>
    </row>
    <row r="3824">
      <c r="A3824" s="1">
        <f>IFERROR(__xludf.DUMMYFUNCTION("""COMPUTED_VALUE"""),829796.0)</f>
        <v>829796</v>
      </c>
      <c r="B3824" s="2">
        <f>IFERROR(__xludf.DUMMYFUNCTION("""COMPUTED_VALUE"""),42739.197341613515)</f>
        <v>42739.19734</v>
      </c>
      <c r="C3824" s="1" t="str">
        <f>IFERROR(__xludf.DUMMYFUNCTION("""COMPUTED_VALUE"""),"treatment")</f>
        <v>treatment</v>
      </c>
      <c r="D3824" s="1" t="str">
        <f>IFERROR(__xludf.DUMMYFUNCTION("""COMPUTED_VALUE"""),"new_page")</f>
        <v>new_page</v>
      </c>
      <c r="E3824" s="1">
        <f>IFERROR(__xludf.DUMMYFUNCTION("""COMPUTED_VALUE"""),0.0)</f>
        <v>0</v>
      </c>
    </row>
    <row r="3825">
      <c r="A3825" s="1">
        <f>IFERROR(__xludf.DUMMYFUNCTION("""COMPUTED_VALUE"""),852307.0)</f>
        <v>852307</v>
      </c>
      <c r="B3825" s="2">
        <f>IFERROR(__xludf.DUMMYFUNCTION("""COMPUTED_VALUE"""),42752.9050336792)</f>
        <v>42752.90503</v>
      </c>
      <c r="C3825" s="1" t="str">
        <f>IFERROR(__xludf.DUMMYFUNCTION("""COMPUTED_VALUE"""),"treatment")</f>
        <v>treatment</v>
      </c>
      <c r="D3825" s="1" t="str">
        <f>IFERROR(__xludf.DUMMYFUNCTION("""COMPUTED_VALUE"""),"new_page")</f>
        <v>new_page</v>
      </c>
      <c r="E3825" s="1">
        <f>IFERROR(__xludf.DUMMYFUNCTION("""COMPUTED_VALUE"""),1.0)</f>
        <v>1</v>
      </c>
    </row>
    <row r="3826">
      <c r="A3826" s="1">
        <f>IFERROR(__xludf.DUMMYFUNCTION("""COMPUTED_VALUE"""),749343.0)</f>
        <v>749343</v>
      </c>
      <c r="B3826" s="2">
        <f>IFERROR(__xludf.DUMMYFUNCTION("""COMPUTED_VALUE"""),42750.88974898676)</f>
        <v>42750.88975</v>
      </c>
      <c r="C3826" s="1" t="str">
        <f>IFERROR(__xludf.DUMMYFUNCTION("""COMPUTED_VALUE"""),"control")</f>
        <v>control</v>
      </c>
      <c r="D3826" s="1" t="str">
        <f>IFERROR(__xludf.DUMMYFUNCTION("""COMPUTED_VALUE"""),"old_page")</f>
        <v>old_page</v>
      </c>
      <c r="E3826" s="1">
        <f>IFERROR(__xludf.DUMMYFUNCTION("""COMPUTED_VALUE"""),0.0)</f>
        <v>0</v>
      </c>
    </row>
    <row r="3827">
      <c r="A3827" s="1">
        <f>IFERROR(__xludf.DUMMYFUNCTION("""COMPUTED_VALUE"""),874732.0)</f>
        <v>874732</v>
      </c>
      <c r="B3827" s="2">
        <f>IFERROR(__xludf.DUMMYFUNCTION("""COMPUTED_VALUE"""),42749.87821617676)</f>
        <v>42749.87822</v>
      </c>
      <c r="C3827" s="1" t="str">
        <f>IFERROR(__xludf.DUMMYFUNCTION("""COMPUTED_VALUE"""),"treatment")</f>
        <v>treatment</v>
      </c>
      <c r="D3827" s="1" t="str">
        <f>IFERROR(__xludf.DUMMYFUNCTION("""COMPUTED_VALUE"""),"new_page")</f>
        <v>new_page</v>
      </c>
      <c r="E3827" s="1">
        <f>IFERROR(__xludf.DUMMYFUNCTION("""COMPUTED_VALUE"""),0.0)</f>
        <v>0</v>
      </c>
    </row>
    <row r="3828">
      <c r="A3828" s="1">
        <f>IFERROR(__xludf.DUMMYFUNCTION("""COMPUTED_VALUE"""),825907.0)</f>
        <v>825907</v>
      </c>
      <c r="B3828" s="2">
        <f>IFERROR(__xludf.DUMMYFUNCTION("""COMPUTED_VALUE"""),42756.85753843581)</f>
        <v>42756.85754</v>
      </c>
      <c r="C3828" s="1" t="str">
        <f>IFERROR(__xludf.DUMMYFUNCTION("""COMPUTED_VALUE"""),"treatment")</f>
        <v>treatment</v>
      </c>
      <c r="D3828" s="1" t="str">
        <f>IFERROR(__xludf.DUMMYFUNCTION("""COMPUTED_VALUE"""),"new_page")</f>
        <v>new_page</v>
      </c>
      <c r="E3828" s="1">
        <f>IFERROR(__xludf.DUMMYFUNCTION("""COMPUTED_VALUE"""),0.0)</f>
        <v>0</v>
      </c>
    </row>
    <row r="3829">
      <c r="A3829" s="1">
        <f>IFERROR(__xludf.DUMMYFUNCTION("""COMPUTED_VALUE"""),685260.0)</f>
        <v>685260</v>
      </c>
      <c r="B3829" s="2">
        <f>IFERROR(__xludf.DUMMYFUNCTION("""COMPUTED_VALUE"""),42755.36536820429)</f>
        <v>42755.36537</v>
      </c>
      <c r="C3829" s="1" t="str">
        <f>IFERROR(__xludf.DUMMYFUNCTION("""COMPUTED_VALUE"""),"treatment")</f>
        <v>treatment</v>
      </c>
      <c r="D3829" s="1" t="str">
        <f>IFERROR(__xludf.DUMMYFUNCTION("""COMPUTED_VALUE"""),"new_page")</f>
        <v>new_page</v>
      </c>
      <c r="E3829" s="1">
        <f>IFERROR(__xludf.DUMMYFUNCTION("""COMPUTED_VALUE"""),0.0)</f>
        <v>0</v>
      </c>
    </row>
    <row r="3830">
      <c r="A3830" s="1">
        <f>IFERROR(__xludf.DUMMYFUNCTION("""COMPUTED_VALUE"""),921452.0)</f>
        <v>921452</v>
      </c>
      <c r="B3830" s="2">
        <f>IFERROR(__xludf.DUMMYFUNCTION("""COMPUTED_VALUE"""),42754.5841500953)</f>
        <v>42754.58415</v>
      </c>
      <c r="C3830" s="1" t="str">
        <f>IFERROR(__xludf.DUMMYFUNCTION("""COMPUTED_VALUE"""),"control")</f>
        <v>control</v>
      </c>
      <c r="D3830" s="1" t="str">
        <f>IFERROR(__xludf.DUMMYFUNCTION("""COMPUTED_VALUE"""),"old_page")</f>
        <v>old_page</v>
      </c>
      <c r="E3830" s="1">
        <f>IFERROR(__xludf.DUMMYFUNCTION("""COMPUTED_VALUE"""),0.0)</f>
        <v>0</v>
      </c>
    </row>
    <row r="3831">
      <c r="A3831" s="1">
        <f>IFERROR(__xludf.DUMMYFUNCTION("""COMPUTED_VALUE"""),827492.0)</f>
        <v>827492</v>
      </c>
      <c r="B3831" s="2">
        <f>IFERROR(__xludf.DUMMYFUNCTION("""COMPUTED_VALUE"""),42758.75143487119)</f>
        <v>42758.75143</v>
      </c>
      <c r="C3831" s="1" t="str">
        <f>IFERROR(__xludf.DUMMYFUNCTION("""COMPUTED_VALUE"""),"control")</f>
        <v>control</v>
      </c>
      <c r="D3831" s="1" t="str">
        <f>IFERROR(__xludf.DUMMYFUNCTION("""COMPUTED_VALUE"""),"old_page")</f>
        <v>old_page</v>
      </c>
      <c r="E3831" s="1">
        <f>IFERROR(__xludf.DUMMYFUNCTION("""COMPUTED_VALUE"""),0.0)</f>
        <v>0</v>
      </c>
    </row>
    <row r="3832">
      <c r="A3832" s="1">
        <f>IFERROR(__xludf.DUMMYFUNCTION("""COMPUTED_VALUE"""),859913.0)</f>
        <v>859913</v>
      </c>
      <c r="B3832" s="2">
        <f>IFERROR(__xludf.DUMMYFUNCTION("""COMPUTED_VALUE"""),42757.33862155204)</f>
        <v>42757.33862</v>
      </c>
      <c r="C3832" s="1" t="str">
        <f>IFERROR(__xludf.DUMMYFUNCTION("""COMPUTED_VALUE"""),"treatment")</f>
        <v>treatment</v>
      </c>
      <c r="D3832" s="1" t="str">
        <f>IFERROR(__xludf.DUMMYFUNCTION("""COMPUTED_VALUE"""),"new_page")</f>
        <v>new_page</v>
      </c>
      <c r="E3832" s="1">
        <f>IFERROR(__xludf.DUMMYFUNCTION("""COMPUTED_VALUE"""),0.0)</f>
        <v>0</v>
      </c>
    </row>
    <row r="3833">
      <c r="A3833" s="1">
        <f>IFERROR(__xludf.DUMMYFUNCTION("""COMPUTED_VALUE"""),800345.0)</f>
        <v>800345</v>
      </c>
      <c r="B3833" s="2">
        <f>IFERROR(__xludf.DUMMYFUNCTION("""COMPUTED_VALUE"""),42755.437523253255)</f>
        <v>42755.43752</v>
      </c>
      <c r="C3833" s="1" t="str">
        <f>IFERROR(__xludf.DUMMYFUNCTION("""COMPUTED_VALUE"""),"control")</f>
        <v>control</v>
      </c>
      <c r="D3833" s="1" t="str">
        <f>IFERROR(__xludf.DUMMYFUNCTION("""COMPUTED_VALUE"""),"old_page")</f>
        <v>old_page</v>
      </c>
      <c r="E3833" s="1">
        <f>IFERROR(__xludf.DUMMYFUNCTION("""COMPUTED_VALUE"""),1.0)</f>
        <v>1</v>
      </c>
    </row>
    <row r="3834">
      <c r="A3834" s="1">
        <f>IFERROR(__xludf.DUMMYFUNCTION("""COMPUTED_VALUE"""),884826.0)</f>
        <v>884826</v>
      </c>
      <c r="B3834" s="2">
        <f>IFERROR(__xludf.DUMMYFUNCTION("""COMPUTED_VALUE"""),42745.767907175985)</f>
        <v>42745.76791</v>
      </c>
      <c r="C3834" s="1" t="str">
        <f>IFERROR(__xludf.DUMMYFUNCTION("""COMPUTED_VALUE"""),"control")</f>
        <v>control</v>
      </c>
      <c r="D3834" s="1" t="str">
        <f>IFERROR(__xludf.DUMMYFUNCTION("""COMPUTED_VALUE"""),"old_page")</f>
        <v>old_page</v>
      </c>
      <c r="E3834" s="1">
        <f>IFERROR(__xludf.DUMMYFUNCTION("""COMPUTED_VALUE"""),0.0)</f>
        <v>0</v>
      </c>
    </row>
    <row r="3835">
      <c r="A3835" s="1">
        <f>IFERROR(__xludf.DUMMYFUNCTION("""COMPUTED_VALUE"""),640511.0)</f>
        <v>640511</v>
      </c>
      <c r="B3835" s="2">
        <f>IFERROR(__xludf.DUMMYFUNCTION("""COMPUTED_VALUE"""),42746.901281489445)</f>
        <v>42746.90128</v>
      </c>
      <c r="C3835" s="1" t="str">
        <f>IFERROR(__xludf.DUMMYFUNCTION("""COMPUTED_VALUE"""),"control")</f>
        <v>control</v>
      </c>
      <c r="D3835" s="1" t="str">
        <f>IFERROR(__xludf.DUMMYFUNCTION("""COMPUTED_VALUE"""),"old_page")</f>
        <v>old_page</v>
      </c>
      <c r="E3835" s="1">
        <f>IFERROR(__xludf.DUMMYFUNCTION("""COMPUTED_VALUE"""),0.0)</f>
        <v>0</v>
      </c>
    </row>
    <row r="3836">
      <c r="A3836" s="1">
        <f>IFERROR(__xludf.DUMMYFUNCTION("""COMPUTED_VALUE"""),765923.0)</f>
        <v>765923</v>
      </c>
      <c r="B3836" s="2">
        <f>IFERROR(__xludf.DUMMYFUNCTION("""COMPUTED_VALUE"""),42750.14037202708)</f>
        <v>42750.14037</v>
      </c>
      <c r="C3836" s="1" t="str">
        <f>IFERROR(__xludf.DUMMYFUNCTION("""COMPUTED_VALUE"""),"treatment")</f>
        <v>treatment</v>
      </c>
      <c r="D3836" s="1" t="str">
        <f>IFERROR(__xludf.DUMMYFUNCTION("""COMPUTED_VALUE"""),"new_page")</f>
        <v>new_page</v>
      </c>
      <c r="E3836" s="1">
        <f>IFERROR(__xludf.DUMMYFUNCTION("""COMPUTED_VALUE"""),0.0)</f>
        <v>0</v>
      </c>
    </row>
    <row r="3837">
      <c r="A3837" s="1">
        <f>IFERROR(__xludf.DUMMYFUNCTION("""COMPUTED_VALUE"""),718385.0)</f>
        <v>718385</v>
      </c>
      <c r="B3837" s="2">
        <f>IFERROR(__xludf.DUMMYFUNCTION("""COMPUTED_VALUE"""),42753.664690104284)</f>
        <v>42753.66469</v>
      </c>
      <c r="C3837" s="1" t="str">
        <f>IFERROR(__xludf.DUMMYFUNCTION("""COMPUTED_VALUE"""),"control")</f>
        <v>control</v>
      </c>
      <c r="D3837" s="1" t="str">
        <f>IFERROR(__xludf.DUMMYFUNCTION("""COMPUTED_VALUE"""),"old_page")</f>
        <v>old_page</v>
      </c>
      <c r="E3837" s="1">
        <f>IFERROR(__xludf.DUMMYFUNCTION("""COMPUTED_VALUE"""),1.0)</f>
        <v>1</v>
      </c>
    </row>
    <row r="3838">
      <c r="A3838" s="1">
        <f>IFERROR(__xludf.DUMMYFUNCTION("""COMPUTED_VALUE"""),939279.0)</f>
        <v>939279</v>
      </c>
      <c r="B3838" s="2">
        <f>IFERROR(__xludf.DUMMYFUNCTION("""COMPUTED_VALUE"""),42754.49351643289)</f>
        <v>42754.49352</v>
      </c>
      <c r="C3838" s="1" t="str">
        <f>IFERROR(__xludf.DUMMYFUNCTION("""COMPUTED_VALUE"""),"treatment")</f>
        <v>treatment</v>
      </c>
      <c r="D3838" s="1" t="str">
        <f>IFERROR(__xludf.DUMMYFUNCTION("""COMPUTED_VALUE"""),"new_page")</f>
        <v>new_page</v>
      </c>
      <c r="E3838" s="1">
        <f>IFERROR(__xludf.DUMMYFUNCTION("""COMPUTED_VALUE"""),0.0)</f>
        <v>0</v>
      </c>
    </row>
    <row r="3839">
      <c r="A3839" s="1">
        <f>IFERROR(__xludf.DUMMYFUNCTION("""COMPUTED_VALUE"""),725872.0)</f>
        <v>725872</v>
      </c>
      <c r="B3839" s="2">
        <f>IFERROR(__xludf.DUMMYFUNCTION("""COMPUTED_VALUE"""),42745.52345530407)</f>
        <v>42745.52346</v>
      </c>
      <c r="C3839" s="1" t="str">
        <f>IFERROR(__xludf.DUMMYFUNCTION("""COMPUTED_VALUE"""),"control")</f>
        <v>control</v>
      </c>
      <c r="D3839" s="1" t="str">
        <f>IFERROR(__xludf.DUMMYFUNCTION("""COMPUTED_VALUE"""),"old_page")</f>
        <v>old_page</v>
      </c>
      <c r="E3839" s="1">
        <f>IFERROR(__xludf.DUMMYFUNCTION("""COMPUTED_VALUE"""),1.0)</f>
        <v>1</v>
      </c>
    </row>
    <row r="3840">
      <c r="A3840" s="1">
        <f>IFERROR(__xludf.DUMMYFUNCTION("""COMPUTED_VALUE"""),819229.0)</f>
        <v>819229</v>
      </c>
      <c r="B3840" s="2">
        <f>IFERROR(__xludf.DUMMYFUNCTION("""COMPUTED_VALUE"""),42742.831161283335)</f>
        <v>42742.83116</v>
      </c>
      <c r="C3840" s="1" t="str">
        <f>IFERROR(__xludf.DUMMYFUNCTION("""COMPUTED_VALUE"""),"control")</f>
        <v>control</v>
      </c>
      <c r="D3840" s="1" t="str">
        <f>IFERROR(__xludf.DUMMYFUNCTION("""COMPUTED_VALUE"""),"old_page")</f>
        <v>old_page</v>
      </c>
      <c r="E3840" s="1">
        <f>IFERROR(__xludf.DUMMYFUNCTION("""COMPUTED_VALUE"""),0.0)</f>
        <v>0</v>
      </c>
    </row>
    <row r="3841">
      <c r="A3841" s="1">
        <f>IFERROR(__xludf.DUMMYFUNCTION("""COMPUTED_VALUE"""),682813.0)</f>
        <v>682813</v>
      </c>
      <c r="B3841" s="2">
        <f>IFERROR(__xludf.DUMMYFUNCTION("""COMPUTED_VALUE"""),42754.43394632278)</f>
        <v>42754.43395</v>
      </c>
      <c r="C3841" s="1" t="str">
        <f>IFERROR(__xludf.DUMMYFUNCTION("""COMPUTED_VALUE"""),"control")</f>
        <v>control</v>
      </c>
      <c r="D3841" s="1" t="str">
        <f>IFERROR(__xludf.DUMMYFUNCTION("""COMPUTED_VALUE"""),"old_page")</f>
        <v>old_page</v>
      </c>
      <c r="E3841" s="1">
        <f>IFERROR(__xludf.DUMMYFUNCTION("""COMPUTED_VALUE"""),0.0)</f>
        <v>0</v>
      </c>
    </row>
    <row r="3842">
      <c r="A3842" s="1">
        <f>IFERROR(__xludf.DUMMYFUNCTION("""COMPUTED_VALUE"""),674678.0)</f>
        <v>674678</v>
      </c>
      <c r="B3842" s="2">
        <f>IFERROR(__xludf.DUMMYFUNCTION("""COMPUTED_VALUE"""),42744.419372635384)</f>
        <v>42744.41937</v>
      </c>
      <c r="C3842" s="1" t="str">
        <f>IFERROR(__xludf.DUMMYFUNCTION("""COMPUTED_VALUE"""),"control")</f>
        <v>control</v>
      </c>
      <c r="D3842" s="1" t="str">
        <f>IFERROR(__xludf.DUMMYFUNCTION("""COMPUTED_VALUE"""),"old_page")</f>
        <v>old_page</v>
      </c>
      <c r="E3842" s="1">
        <f>IFERROR(__xludf.DUMMYFUNCTION("""COMPUTED_VALUE"""),0.0)</f>
        <v>0</v>
      </c>
    </row>
    <row r="3843">
      <c r="A3843" s="1">
        <f>IFERROR(__xludf.DUMMYFUNCTION("""COMPUTED_VALUE"""),736663.0)</f>
        <v>736663</v>
      </c>
      <c r="B3843" s="2">
        <f>IFERROR(__xludf.DUMMYFUNCTION("""COMPUTED_VALUE"""),42745.335197106004)</f>
        <v>42745.3352</v>
      </c>
      <c r="C3843" s="1" t="str">
        <f>IFERROR(__xludf.DUMMYFUNCTION("""COMPUTED_VALUE"""),"control")</f>
        <v>control</v>
      </c>
      <c r="D3843" s="1" t="str">
        <f>IFERROR(__xludf.DUMMYFUNCTION("""COMPUTED_VALUE"""),"old_page")</f>
        <v>old_page</v>
      </c>
      <c r="E3843" s="1">
        <f>IFERROR(__xludf.DUMMYFUNCTION("""COMPUTED_VALUE"""),0.0)</f>
        <v>0</v>
      </c>
    </row>
    <row r="3844">
      <c r="A3844" s="1">
        <f>IFERROR(__xludf.DUMMYFUNCTION("""COMPUTED_VALUE"""),706821.0)</f>
        <v>706821</v>
      </c>
      <c r="B3844" s="2">
        <f>IFERROR(__xludf.DUMMYFUNCTION("""COMPUTED_VALUE"""),42742.25407709957)</f>
        <v>42742.25408</v>
      </c>
      <c r="C3844" s="1" t="str">
        <f>IFERROR(__xludf.DUMMYFUNCTION("""COMPUTED_VALUE"""),"treatment")</f>
        <v>treatment</v>
      </c>
      <c r="D3844" s="1" t="str">
        <f>IFERROR(__xludf.DUMMYFUNCTION("""COMPUTED_VALUE"""),"new_page")</f>
        <v>new_page</v>
      </c>
      <c r="E3844" s="1">
        <f>IFERROR(__xludf.DUMMYFUNCTION("""COMPUTED_VALUE"""),0.0)</f>
        <v>0</v>
      </c>
    </row>
    <row r="3845">
      <c r="A3845" s="1">
        <f>IFERROR(__xludf.DUMMYFUNCTION("""COMPUTED_VALUE"""),674849.0)</f>
        <v>674849</v>
      </c>
      <c r="B3845" s="2">
        <f>IFERROR(__xludf.DUMMYFUNCTION("""COMPUTED_VALUE"""),42741.92599779488)</f>
        <v>42741.926</v>
      </c>
      <c r="C3845" s="1" t="str">
        <f>IFERROR(__xludf.DUMMYFUNCTION("""COMPUTED_VALUE"""),"control")</f>
        <v>control</v>
      </c>
      <c r="D3845" s="1" t="str">
        <f>IFERROR(__xludf.DUMMYFUNCTION("""COMPUTED_VALUE"""),"old_page")</f>
        <v>old_page</v>
      </c>
      <c r="E3845" s="1">
        <f>IFERROR(__xludf.DUMMYFUNCTION("""COMPUTED_VALUE"""),0.0)</f>
        <v>0</v>
      </c>
    </row>
    <row r="3846">
      <c r="A3846" s="1">
        <f>IFERROR(__xludf.DUMMYFUNCTION("""COMPUTED_VALUE"""),741226.0)</f>
        <v>741226</v>
      </c>
      <c r="B3846" s="2">
        <f>IFERROR(__xludf.DUMMYFUNCTION("""COMPUTED_VALUE"""),42759.485489869425)</f>
        <v>42759.48549</v>
      </c>
      <c r="C3846" s="1" t="str">
        <f>IFERROR(__xludf.DUMMYFUNCTION("""COMPUTED_VALUE"""),"control")</f>
        <v>control</v>
      </c>
      <c r="D3846" s="1" t="str">
        <f>IFERROR(__xludf.DUMMYFUNCTION("""COMPUTED_VALUE"""),"old_page")</f>
        <v>old_page</v>
      </c>
      <c r="E3846" s="1">
        <f>IFERROR(__xludf.DUMMYFUNCTION("""COMPUTED_VALUE"""),0.0)</f>
        <v>0</v>
      </c>
    </row>
    <row r="3847">
      <c r="A3847" s="1">
        <f>IFERROR(__xludf.DUMMYFUNCTION("""COMPUTED_VALUE"""),703015.0)</f>
        <v>703015</v>
      </c>
      <c r="B3847" s="2">
        <f>IFERROR(__xludf.DUMMYFUNCTION("""COMPUTED_VALUE"""),42758.53342595233)</f>
        <v>42758.53343</v>
      </c>
      <c r="C3847" s="1" t="str">
        <f>IFERROR(__xludf.DUMMYFUNCTION("""COMPUTED_VALUE"""),"control")</f>
        <v>control</v>
      </c>
      <c r="D3847" s="1" t="str">
        <f>IFERROR(__xludf.DUMMYFUNCTION("""COMPUTED_VALUE"""),"old_page")</f>
        <v>old_page</v>
      </c>
      <c r="E3847" s="1">
        <f>IFERROR(__xludf.DUMMYFUNCTION("""COMPUTED_VALUE"""),0.0)</f>
        <v>0</v>
      </c>
    </row>
    <row r="3848">
      <c r="A3848" s="1">
        <f>IFERROR(__xludf.DUMMYFUNCTION("""COMPUTED_VALUE"""),815048.0)</f>
        <v>815048</v>
      </c>
      <c r="B3848" s="2">
        <f>IFERROR(__xludf.DUMMYFUNCTION("""COMPUTED_VALUE"""),42753.84859334649)</f>
        <v>42753.84859</v>
      </c>
      <c r="C3848" s="1" t="str">
        <f>IFERROR(__xludf.DUMMYFUNCTION("""COMPUTED_VALUE"""),"treatment")</f>
        <v>treatment</v>
      </c>
      <c r="D3848" s="1" t="str">
        <f>IFERROR(__xludf.DUMMYFUNCTION("""COMPUTED_VALUE"""),"new_page")</f>
        <v>new_page</v>
      </c>
      <c r="E3848" s="1">
        <f>IFERROR(__xludf.DUMMYFUNCTION("""COMPUTED_VALUE"""),0.0)</f>
        <v>0</v>
      </c>
    </row>
    <row r="3849">
      <c r="A3849" s="1">
        <f>IFERROR(__xludf.DUMMYFUNCTION("""COMPUTED_VALUE"""),702785.0)</f>
        <v>702785</v>
      </c>
      <c r="B3849" s="2">
        <f>IFERROR(__xludf.DUMMYFUNCTION("""COMPUTED_VALUE"""),42749.63870130692)</f>
        <v>42749.6387</v>
      </c>
      <c r="C3849" s="1" t="str">
        <f>IFERROR(__xludf.DUMMYFUNCTION("""COMPUTED_VALUE"""),"control")</f>
        <v>control</v>
      </c>
      <c r="D3849" s="1" t="str">
        <f>IFERROR(__xludf.DUMMYFUNCTION("""COMPUTED_VALUE"""),"old_page")</f>
        <v>old_page</v>
      </c>
      <c r="E3849" s="1">
        <f>IFERROR(__xludf.DUMMYFUNCTION("""COMPUTED_VALUE"""),0.0)</f>
        <v>0</v>
      </c>
    </row>
    <row r="3850">
      <c r="A3850" s="1">
        <f>IFERROR(__xludf.DUMMYFUNCTION("""COMPUTED_VALUE"""),862290.0)</f>
        <v>862290</v>
      </c>
      <c r="B3850" s="2">
        <f>IFERROR(__xludf.DUMMYFUNCTION("""COMPUTED_VALUE"""),42747.14193409733)</f>
        <v>42747.14193</v>
      </c>
      <c r="C3850" s="1" t="str">
        <f>IFERROR(__xludf.DUMMYFUNCTION("""COMPUTED_VALUE"""),"treatment")</f>
        <v>treatment</v>
      </c>
      <c r="D3850" s="1" t="str">
        <f>IFERROR(__xludf.DUMMYFUNCTION("""COMPUTED_VALUE"""),"new_page")</f>
        <v>new_page</v>
      </c>
      <c r="E3850" s="1">
        <f>IFERROR(__xludf.DUMMYFUNCTION("""COMPUTED_VALUE"""),1.0)</f>
        <v>1</v>
      </c>
    </row>
    <row r="3851">
      <c r="A3851" s="1">
        <f>IFERROR(__xludf.DUMMYFUNCTION("""COMPUTED_VALUE"""),893683.0)</f>
        <v>893683</v>
      </c>
      <c r="B3851" s="2">
        <f>IFERROR(__xludf.DUMMYFUNCTION("""COMPUTED_VALUE"""),42750.402961809086)</f>
        <v>42750.40296</v>
      </c>
      <c r="C3851" s="1" t="str">
        <f>IFERROR(__xludf.DUMMYFUNCTION("""COMPUTED_VALUE"""),"control")</f>
        <v>control</v>
      </c>
      <c r="D3851" s="1" t="str">
        <f>IFERROR(__xludf.DUMMYFUNCTION("""COMPUTED_VALUE"""),"old_page")</f>
        <v>old_page</v>
      </c>
      <c r="E3851" s="1">
        <f>IFERROR(__xludf.DUMMYFUNCTION("""COMPUTED_VALUE"""),0.0)</f>
        <v>0</v>
      </c>
    </row>
    <row r="3852">
      <c r="A3852" s="1">
        <f>IFERROR(__xludf.DUMMYFUNCTION("""COMPUTED_VALUE"""),828538.0)</f>
        <v>828538</v>
      </c>
      <c r="B3852" s="2">
        <f>IFERROR(__xludf.DUMMYFUNCTION("""COMPUTED_VALUE"""),42748.93481894354)</f>
        <v>42748.93482</v>
      </c>
      <c r="C3852" s="1" t="str">
        <f>IFERROR(__xludf.DUMMYFUNCTION("""COMPUTED_VALUE"""),"treatment")</f>
        <v>treatment</v>
      </c>
      <c r="D3852" s="1" t="str">
        <f>IFERROR(__xludf.DUMMYFUNCTION("""COMPUTED_VALUE"""),"new_page")</f>
        <v>new_page</v>
      </c>
      <c r="E3852" s="1">
        <f>IFERROR(__xludf.DUMMYFUNCTION("""COMPUTED_VALUE"""),0.0)</f>
        <v>0</v>
      </c>
    </row>
    <row r="3853">
      <c r="A3853" s="1">
        <f>IFERROR(__xludf.DUMMYFUNCTION("""COMPUTED_VALUE"""),829482.0)</f>
        <v>829482</v>
      </c>
      <c r="B3853" s="2">
        <f>IFERROR(__xludf.DUMMYFUNCTION("""COMPUTED_VALUE"""),42759.36137700426)</f>
        <v>42759.36138</v>
      </c>
      <c r="C3853" s="1" t="str">
        <f>IFERROR(__xludf.DUMMYFUNCTION("""COMPUTED_VALUE"""),"control")</f>
        <v>control</v>
      </c>
      <c r="D3853" s="1" t="str">
        <f>IFERROR(__xludf.DUMMYFUNCTION("""COMPUTED_VALUE"""),"old_page")</f>
        <v>old_page</v>
      </c>
      <c r="E3853" s="1">
        <f>IFERROR(__xludf.DUMMYFUNCTION("""COMPUTED_VALUE"""),0.0)</f>
        <v>0</v>
      </c>
    </row>
    <row r="3854">
      <c r="A3854" s="1">
        <f>IFERROR(__xludf.DUMMYFUNCTION("""COMPUTED_VALUE"""),857833.0)</f>
        <v>857833</v>
      </c>
      <c r="B3854" s="2">
        <f>IFERROR(__xludf.DUMMYFUNCTION("""COMPUTED_VALUE"""),42740.02900768128)</f>
        <v>42740.02901</v>
      </c>
      <c r="C3854" s="1" t="str">
        <f>IFERROR(__xludf.DUMMYFUNCTION("""COMPUTED_VALUE"""),"treatment")</f>
        <v>treatment</v>
      </c>
      <c r="D3854" s="1" t="str">
        <f>IFERROR(__xludf.DUMMYFUNCTION("""COMPUTED_VALUE"""),"new_page")</f>
        <v>new_page</v>
      </c>
      <c r="E3854" s="1">
        <f>IFERROR(__xludf.DUMMYFUNCTION("""COMPUTED_VALUE"""),0.0)</f>
        <v>0</v>
      </c>
    </row>
    <row r="3855">
      <c r="A3855" s="1">
        <f>IFERROR(__xludf.DUMMYFUNCTION("""COMPUTED_VALUE"""),792523.0)</f>
        <v>792523</v>
      </c>
      <c r="B3855" s="2">
        <f>IFERROR(__xludf.DUMMYFUNCTION("""COMPUTED_VALUE"""),42756.97028712584)</f>
        <v>42756.97029</v>
      </c>
      <c r="C3855" s="1" t="str">
        <f>IFERROR(__xludf.DUMMYFUNCTION("""COMPUTED_VALUE"""),"treatment")</f>
        <v>treatment</v>
      </c>
      <c r="D3855" s="1" t="str">
        <f>IFERROR(__xludf.DUMMYFUNCTION("""COMPUTED_VALUE"""),"new_page")</f>
        <v>new_page</v>
      </c>
      <c r="E3855" s="1">
        <f>IFERROR(__xludf.DUMMYFUNCTION("""COMPUTED_VALUE"""),1.0)</f>
        <v>1</v>
      </c>
    </row>
    <row r="3856">
      <c r="A3856" s="1">
        <f>IFERROR(__xludf.DUMMYFUNCTION("""COMPUTED_VALUE"""),630217.0)</f>
        <v>630217</v>
      </c>
      <c r="B3856" s="2">
        <f>IFERROR(__xludf.DUMMYFUNCTION("""COMPUTED_VALUE"""),42743.428583733126)</f>
        <v>42743.42858</v>
      </c>
      <c r="C3856" s="1" t="str">
        <f>IFERROR(__xludf.DUMMYFUNCTION("""COMPUTED_VALUE"""),"control")</f>
        <v>control</v>
      </c>
      <c r="D3856" s="1" t="str">
        <f>IFERROR(__xludf.DUMMYFUNCTION("""COMPUTED_VALUE"""),"old_page")</f>
        <v>old_page</v>
      </c>
      <c r="E3856" s="1">
        <f>IFERROR(__xludf.DUMMYFUNCTION("""COMPUTED_VALUE"""),0.0)</f>
        <v>0</v>
      </c>
    </row>
    <row r="3857">
      <c r="A3857" s="1">
        <f>IFERROR(__xludf.DUMMYFUNCTION("""COMPUTED_VALUE"""),852934.0)</f>
        <v>852934</v>
      </c>
      <c r="B3857" s="2">
        <f>IFERROR(__xludf.DUMMYFUNCTION("""COMPUTED_VALUE"""),42750.05689492868)</f>
        <v>42750.05689</v>
      </c>
      <c r="C3857" s="1" t="str">
        <f>IFERROR(__xludf.DUMMYFUNCTION("""COMPUTED_VALUE"""),"control")</f>
        <v>control</v>
      </c>
      <c r="D3857" s="1" t="str">
        <f>IFERROR(__xludf.DUMMYFUNCTION("""COMPUTED_VALUE"""),"old_page")</f>
        <v>old_page</v>
      </c>
      <c r="E3857" s="1">
        <f>IFERROR(__xludf.DUMMYFUNCTION("""COMPUTED_VALUE"""),0.0)</f>
        <v>0</v>
      </c>
    </row>
    <row r="3858">
      <c r="A3858" s="1">
        <f>IFERROR(__xludf.DUMMYFUNCTION("""COMPUTED_VALUE"""),848957.0)</f>
        <v>848957</v>
      </c>
      <c r="B3858" s="2">
        <f>IFERROR(__xludf.DUMMYFUNCTION("""COMPUTED_VALUE"""),42738.47820832235)</f>
        <v>42738.47821</v>
      </c>
      <c r="C3858" s="1" t="str">
        <f>IFERROR(__xludf.DUMMYFUNCTION("""COMPUTED_VALUE"""),"treatment")</f>
        <v>treatment</v>
      </c>
      <c r="D3858" s="1" t="str">
        <f>IFERROR(__xludf.DUMMYFUNCTION("""COMPUTED_VALUE"""),"new_page")</f>
        <v>new_page</v>
      </c>
      <c r="E3858" s="1">
        <f>IFERROR(__xludf.DUMMYFUNCTION("""COMPUTED_VALUE"""),0.0)</f>
        <v>0</v>
      </c>
    </row>
    <row r="3859">
      <c r="A3859" s="1">
        <f>IFERROR(__xludf.DUMMYFUNCTION("""COMPUTED_VALUE"""),777190.0)</f>
        <v>777190</v>
      </c>
      <c r="B3859" s="2">
        <f>IFERROR(__xludf.DUMMYFUNCTION("""COMPUTED_VALUE"""),42741.156122464425)</f>
        <v>42741.15612</v>
      </c>
      <c r="C3859" s="1" t="str">
        <f>IFERROR(__xludf.DUMMYFUNCTION("""COMPUTED_VALUE"""),"control")</f>
        <v>control</v>
      </c>
      <c r="D3859" s="1" t="str">
        <f>IFERROR(__xludf.DUMMYFUNCTION("""COMPUTED_VALUE"""),"old_page")</f>
        <v>old_page</v>
      </c>
      <c r="E3859" s="1">
        <f>IFERROR(__xludf.DUMMYFUNCTION("""COMPUTED_VALUE"""),0.0)</f>
        <v>0</v>
      </c>
    </row>
    <row r="3860">
      <c r="A3860" s="1">
        <f>IFERROR(__xludf.DUMMYFUNCTION("""COMPUTED_VALUE"""),810357.0)</f>
        <v>810357</v>
      </c>
      <c r="B3860" s="2">
        <f>IFERROR(__xludf.DUMMYFUNCTION("""COMPUTED_VALUE"""),42742.639395769795)</f>
        <v>42742.6394</v>
      </c>
      <c r="C3860" s="1" t="str">
        <f>IFERROR(__xludf.DUMMYFUNCTION("""COMPUTED_VALUE"""),"treatment")</f>
        <v>treatment</v>
      </c>
      <c r="D3860" s="1" t="str">
        <f>IFERROR(__xludf.DUMMYFUNCTION("""COMPUTED_VALUE"""),"new_page")</f>
        <v>new_page</v>
      </c>
      <c r="E3860" s="1">
        <f>IFERROR(__xludf.DUMMYFUNCTION("""COMPUTED_VALUE"""),1.0)</f>
        <v>1</v>
      </c>
    </row>
    <row r="3861">
      <c r="A3861" s="1">
        <f>IFERROR(__xludf.DUMMYFUNCTION("""COMPUTED_VALUE"""),682983.0)</f>
        <v>682983</v>
      </c>
      <c r="B3861" s="2">
        <f>IFERROR(__xludf.DUMMYFUNCTION("""COMPUTED_VALUE"""),42742.12686061623)</f>
        <v>42742.12686</v>
      </c>
      <c r="C3861" s="1" t="str">
        <f>IFERROR(__xludf.DUMMYFUNCTION("""COMPUTED_VALUE"""),"control")</f>
        <v>control</v>
      </c>
      <c r="D3861" s="1" t="str">
        <f>IFERROR(__xludf.DUMMYFUNCTION("""COMPUTED_VALUE"""),"old_page")</f>
        <v>old_page</v>
      </c>
      <c r="E3861" s="1">
        <f>IFERROR(__xludf.DUMMYFUNCTION("""COMPUTED_VALUE"""),0.0)</f>
        <v>0</v>
      </c>
    </row>
    <row r="3862">
      <c r="A3862" s="1">
        <f>IFERROR(__xludf.DUMMYFUNCTION("""COMPUTED_VALUE"""),663810.0)</f>
        <v>663810</v>
      </c>
      <c r="B3862" s="2">
        <f>IFERROR(__xludf.DUMMYFUNCTION("""COMPUTED_VALUE"""),42746.781385055496)</f>
        <v>42746.78139</v>
      </c>
      <c r="C3862" s="1" t="str">
        <f>IFERROR(__xludf.DUMMYFUNCTION("""COMPUTED_VALUE"""),"treatment")</f>
        <v>treatment</v>
      </c>
      <c r="D3862" s="1" t="str">
        <f>IFERROR(__xludf.DUMMYFUNCTION("""COMPUTED_VALUE"""),"new_page")</f>
        <v>new_page</v>
      </c>
      <c r="E3862" s="1">
        <f>IFERROR(__xludf.DUMMYFUNCTION("""COMPUTED_VALUE"""),0.0)</f>
        <v>0</v>
      </c>
    </row>
    <row r="3863">
      <c r="A3863" s="1">
        <f>IFERROR(__xludf.DUMMYFUNCTION("""COMPUTED_VALUE"""),898396.0)</f>
        <v>898396</v>
      </c>
      <c r="B3863" s="2">
        <f>IFERROR(__xludf.DUMMYFUNCTION("""COMPUTED_VALUE"""),42752.519807976634)</f>
        <v>42752.51981</v>
      </c>
      <c r="C3863" s="1" t="str">
        <f>IFERROR(__xludf.DUMMYFUNCTION("""COMPUTED_VALUE"""),"control")</f>
        <v>control</v>
      </c>
      <c r="D3863" s="1" t="str">
        <f>IFERROR(__xludf.DUMMYFUNCTION("""COMPUTED_VALUE"""),"old_page")</f>
        <v>old_page</v>
      </c>
      <c r="E3863" s="1">
        <f>IFERROR(__xludf.DUMMYFUNCTION("""COMPUTED_VALUE"""),0.0)</f>
        <v>0</v>
      </c>
    </row>
    <row r="3864">
      <c r="A3864" s="1">
        <f>IFERROR(__xludf.DUMMYFUNCTION("""COMPUTED_VALUE"""),697207.0)</f>
        <v>697207</v>
      </c>
      <c r="B3864" s="2">
        <f>IFERROR(__xludf.DUMMYFUNCTION("""COMPUTED_VALUE"""),42748.205068083415)</f>
        <v>42748.20507</v>
      </c>
      <c r="C3864" s="1" t="str">
        <f>IFERROR(__xludf.DUMMYFUNCTION("""COMPUTED_VALUE"""),"treatment")</f>
        <v>treatment</v>
      </c>
      <c r="D3864" s="1" t="str">
        <f>IFERROR(__xludf.DUMMYFUNCTION("""COMPUTED_VALUE"""),"new_page")</f>
        <v>new_page</v>
      </c>
      <c r="E3864" s="1">
        <f>IFERROR(__xludf.DUMMYFUNCTION("""COMPUTED_VALUE"""),0.0)</f>
        <v>0</v>
      </c>
    </row>
    <row r="3865">
      <c r="A3865" s="1">
        <f>IFERROR(__xludf.DUMMYFUNCTION("""COMPUTED_VALUE"""),758158.0)</f>
        <v>758158</v>
      </c>
      <c r="B3865" s="2">
        <f>IFERROR(__xludf.DUMMYFUNCTION("""COMPUTED_VALUE"""),42754.237797322014)</f>
        <v>42754.2378</v>
      </c>
      <c r="C3865" s="1" t="str">
        <f>IFERROR(__xludf.DUMMYFUNCTION("""COMPUTED_VALUE"""),"treatment")</f>
        <v>treatment</v>
      </c>
      <c r="D3865" s="1" t="str">
        <f>IFERROR(__xludf.DUMMYFUNCTION("""COMPUTED_VALUE"""),"new_page")</f>
        <v>new_page</v>
      </c>
      <c r="E3865" s="1">
        <f>IFERROR(__xludf.DUMMYFUNCTION("""COMPUTED_VALUE"""),0.0)</f>
        <v>0</v>
      </c>
    </row>
    <row r="3866">
      <c r="A3866" s="1">
        <f>IFERROR(__xludf.DUMMYFUNCTION("""COMPUTED_VALUE"""),931378.0)</f>
        <v>931378</v>
      </c>
      <c r="B3866" s="2">
        <f>IFERROR(__xludf.DUMMYFUNCTION("""COMPUTED_VALUE"""),42740.77361696771)</f>
        <v>42740.77362</v>
      </c>
      <c r="C3866" s="1" t="str">
        <f>IFERROR(__xludf.DUMMYFUNCTION("""COMPUTED_VALUE"""),"control")</f>
        <v>control</v>
      </c>
      <c r="D3866" s="1" t="str">
        <f>IFERROR(__xludf.DUMMYFUNCTION("""COMPUTED_VALUE"""),"old_page")</f>
        <v>old_page</v>
      </c>
      <c r="E3866" s="1">
        <f>IFERROR(__xludf.DUMMYFUNCTION("""COMPUTED_VALUE"""),0.0)</f>
        <v>0</v>
      </c>
    </row>
    <row r="3867">
      <c r="A3867" s="1">
        <f>IFERROR(__xludf.DUMMYFUNCTION("""COMPUTED_VALUE"""),840632.0)</f>
        <v>840632</v>
      </c>
      <c r="B3867" s="2">
        <f>IFERROR(__xludf.DUMMYFUNCTION("""COMPUTED_VALUE"""),42743.520631569234)</f>
        <v>42743.52063</v>
      </c>
      <c r="C3867" s="1" t="str">
        <f>IFERROR(__xludf.DUMMYFUNCTION("""COMPUTED_VALUE"""),"control")</f>
        <v>control</v>
      </c>
      <c r="D3867" s="1" t="str">
        <f>IFERROR(__xludf.DUMMYFUNCTION("""COMPUTED_VALUE"""),"old_page")</f>
        <v>old_page</v>
      </c>
      <c r="E3867" s="1">
        <f>IFERROR(__xludf.DUMMYFUNCTION("""COMPUTED_VALUE"""),1.0)</f>
        <v>1</v>
      </c>
    </row>
    <row r="3868">
      <c r="A3868" s="1">
        <f>IFERROR(__xludf.DUMMYFUNCTION("""COMPUTED_VALUE"""),838657.0)</f>
        <v>838657</v>
      </c>
      <c r="B3868" s="2">
        <f>IFERROR(__xludf.DUMMYFUNCTION("""COMPUTED_VALUE"""),42743.844046065264)</f>
        <v>42743.84405</v>
      </c>
      <c r="C3868" s="1" t="str">
        <f>IFERROR(__xludf.DUMMYFUNCTION("""COMPUTED_VALUE"""),"control")</f>
        <v>control</v>
      </c>
      <c r="D3868" s="1" t="str">
        <f>IFERROR(__xludf.DUMMYFUNCTION("""COMPUTED_VALUE"""),"old_page")</f>
        <v>old_page</v>
      </c>
      <c r="E3868" s="1">
        <f>IFERROR(__xludf.DUMMYFUNCTION("""COMPUTED_VALUE"""),0.0)</f>
        <v>0</v>
      </c>
    </row>
    <row r="3869">
      <c r="A3869" s="1">
        <f>IFERROR(__xludf.DUMMYFUNCTION("""COMPUTED_VALUE"""),938378.0)</f>
        <v>938378</v>
      </c>
      <c r="B3869" s="2">
        <f>IFERROR(__xludf.DUMMYFUNCTION("""COMPUTED_VALUE"""),42739.71576966017)</f>
        <v>42739.71577</v>
      </c>
      <c r="C3869" s="1" t="str">
        <f>IFERROR(__xludf.DUMMYFUNCTION("""COMPUTED_VALUE"""),"treatment")</f>
        <v>treatment</v>
      </c>
      <c r="D3869" s="1" t="str">
        <f>IFERROR(__xludf.DUMMYFUNCTION("""COMPUTED_VALUE"""),"new_page")</f>
        <v>new_page</v>
      </c>
      <c r="E3869" s="1">
        <f>IFERROR(__xludf.DUMMYFUNCTION("""COMPUTED_VALUE"""),0.0)</f>
        <v>0</v>
      </c>
    </row>
    <row r="3870">
      <c r="A3870" s="1">
        <f>IFERROR(__xludf.DUMMYFUNCTION("""COMPUTED_VALUE"""),776005.0)</f>
        <v>776005</v>
      </c>
      <c r="B3870" s="2">
        <f>IFERROR(__xludf.DUMMYFUNCTION("""COMPUTED_VALUE"""),42752.337459601156)</f>
        <v>42752.33746</v>
      </c>
      <c r="C3870" s="1" t="str">
        <f>IFERROR(__xludf.DUMMYFUNCTION("""COMPUTED_VALUE"""),"treatment")</f>
        <v>treatment</v>
      </c>
      <c r="D3870" s="1" t="str">
        <f>IFERROR(__xludf.DUMMYFUNCTION("""COMPUTED_VALUE"""),"new_page")</f>
        <v>new_page</v>
      </c>
      <c r="E3870" s="1">
        <f>IFERROR(__xludf.DUMMYFUNCTION("""COMPUTED_VALUE"""),1.0)</f>
        <v>1</v>
      </c>
    </row>
    <row r="3871">
      <c r="A3871" s="1">
        <f>IFERROR(__xludf.DUMMYFUNCTION("""COMPUTED_VALUE"""),792890.0)</f>
        <v>792890</v>
      </c>
      <c r="B3871" s="2">
        <f>IFERROR(__xludf.DUMMYFUNCTION("""COMPUTED_VALUE"""),42747.90458517707)</f>
        <v>42747.90459</v>
      </c>
      <c r="C3871" s="1" t="str">
        <f>IFERROR(__xludf.DUMMYFUNCTION("""COMPUTED_VALUE"""),"treatment")</f>
        <v>treatment</v>
      </c>
      <c r="D3871" s="1" t="str">
        <f>IFERROR(__xludf.DUMMYFUNCTION("""COMPUTED_VALUE"""),"old_page")</f>
        <v>old_page</v>
      </c>
      <c r="E3871" s="1">
        <f>IFERROR(__xludf.DUMMYFUNCTION("""COMPUTED_VALUE"""),0.0)</f>
        <v>0</v>
      </c>
    </row>
    <row r="3872">
      <c r="A3872" s="1">
        <f>IFERROR(__xludf.DUMMYFUNCTION("""COMPUTED_VALUE"""),942985.0)</f>
        <v>942985</v>
      </c>
      <c r="B3872" s="2">
        <f>IFERROR(__xludf.DUMMYFUNCTION("""COMPUTED_VALUE"""),42741.971674454835)</f>
        <v>42741.97167</v>
      </c>
      <c r="C3872" s="1" t="str">
        <f>IFERROR(__xludf.DUMMYFUNCTION("""COMPUTED_VALUE"""),"treatment")</f>
        <v>treatment</v>
      </c>
      <c r="D3872" s="1" t="str">
        <f>IFERROR(__xludf.DUMMYFUNCTION("""COMPUTED_VALUE"""),"new_page")</f>
        <v>new_page</v>
      </c>
      <c r="E3872" s="1">
        <f>IFERROR(__xludf.DUMMYFUNCTION("""COMPUTED_VALUE"""),0.0)</f>
        <v>0</v>
      </c>
    </row>
    <row r="3873">
      <c r="A3873" s="1">
        <f>IFERROR(__xludf.DUMMYFUNCTION("""COMPUTED_VALUE"""),699880.0)</f>
        <v>699880</v>
      </c>
      <c r="B3873" s="2">
        <f>IFERROR(__xludf.DUMMYFUNCTION("""COMPUTED_VALUE"""),42739.09599438278)</f>
        <v>42739.09599</v>
      </c>
      <c r="C3873" s="1" t="str">
        <f>IFERROR(__xludf.DUMMYFUNCTION("""COMPUTED_VALUE"""),"treatment")</f>
        <v>treatment</v>
      </c>
      <c r="D3873" s="1" t="str">
        <f>IFERROR(__xludf.DUMMYFUNCTION("""COMPUTED_VALUE"""),"new_page")</f>
        <v>new_page</v>
      </c>
      <c r="E3873" s="1">
        <f>IFERROR(__xludf.DUMMYFUNCTION("""COMPUTED_VALUE"""),0.0)</f>
        <v>0</v>
      </c>
    </row>
    <row r="3874">
      <c r="A3874" s="1">
        <f>IFERROR(__xludf.DUMMYFUNCTION("""COMPUTED_VALUE"""),633805.0)</f>
        <v>633805</v>
      </c>
      <c r="B3874" s="2">
        <f>IFERROR(__xludf.DUMMYFUNCTION("""COMPUTED_VALUE"""),42752.908716002625)</f>
        <v>42752.90872</v>
      </c>
      <c r="C3874" s="1" t="str">
        <f>IFERROR(__xludf.DUMMYFUNCTION("""COMPUTED_VALUE"""),"treatment")</f>
        <v>treatment</v>
      </c>
      <c r="D3874" s="1" t="str">
        <f>IFERROR(__xludf.DUMMYFUNCTION("""COMPUTED_VALUE"""),"new_page")</f>
        <v>new_page</v>
      </c>
      <c r="E3874" s="1">
        <f>IFERROR(__xludf.DUMMYFUNCTION("""COMPUTED_VALUE"""),0.0)</f>
        <v>0</v>
      </c>
    </row>
    <row r="3875">
      <c r="A3875" s="1">
        <f>IFERROR(__xludf.DUMMYFUNCTION("""COMPUTED_VALUE"""),687364.0)</f>
        <v>687364</v>
      </c>
      <c r="B3875" s="2">
        <f>IFERROR(__xludf.DUMMYFUNCTION("""COMPUTED_VALUE"""),42738.689978090704)</f>
        <v>42738.68998</v>
      </c>
      <c r="C3875" s="1" t="str">
        <f>IFERROR(__xludf.DUMMYFUNCTION("""COMPUTED_VALUE"""),"treatment")</f>
        <v>treatment</v>
      </c>
      <c r="D3875" s="1" t="str">
        <f>IFERROR(__xludf.DUMMYFUNCTION("""COMPUTED_VALUE"""),"new_page")</f>
        <v>new_page</v>
      </c>
      <c r="E3875" s="1">
        <f>IFERROR(__xludf.DUMMYFUNCTION("""COMPUTED_VALUE"""),0.0)</f>
        <v>0</v>
      </c>
    </row>
    <row r="3876">
      <c r="A3876" s="1">
        <f>IFERROR(__xludf.DUMMYFUNCTION("""COMPUTED_VALUE"""),704223.0)</f>
        <v>704223</v>
      </c>
      <c r="B3876" s="2">
        <f>IFERROR(__xludf.DUMMYFUNCTION("""COMPUTED_VALUE"""),42748.06960091811)</f>
        <v>42748.0696</v>
      </c>
      <c r="C3876" s="1" t="str">
        <f>IFERROR(__xludf.DUMMYFUNCTION("""COMPUTED_VALUE"""),"treatment")</f>
        <v>treatment</v>
      </c>
      <c r="D3876" s="1" t="str">
        <f>IFERROR(__xludf.DUMMYFUNCTION("""COMPUTED_VALUE"""),"new_page")</f>
        <v>new_page</v>
      </c>
      <c r="E3876" s="1">
        <f>IFERROR(__xludf.DUMMYFUNCTION("""COMPUTED_VALUE"""),1.0)</f>
        <v>1</v>
      </c>
    </row>
    <row r="3877">
      <c r="A3877" s="1">
        <f>IFERROR(__xludf.DUMMYFUNCTION("""COMPUTED_VALUE"""),804205.0)</f>
        <v>804205</v>
      </c>
      <c r="B3877" s="2">
        <f>IFERROR(__xludf.DUMMYFUNCTION("""COMPUTED_VALUE"""),42754.45071159254)</f>
        <v>42754.45071</v>
      </c>
      <c r="C3877" s="1" t="str">
        <f>IFERROR(__xludf.DUMMYFUNCTION("""COMPUTED_VALUE"""),"treatment")</f>
        <v>treatment</v>
      </c>
      <c r="D3877" s="1" t="str">
        <f>IFERROR(__xludf.DUMMYFUNCTION("""COMPUTED_VALUE"""),"new_page")</f>
        <v>new_page</v>
      </c>
      <c r="E3877" s="1">
        <f>IFERROR(__xludf.DUMMYFUNCTION("""COMPUTED_VALUE"""),0.0)</f>
        <v>0</v>
      </c>
    </row>
    <row r="3878">
      <c r="A3878" s="1">
        <f>IFERROR(__xludf.DUMMYFUNCTION("""COMPUTED_VALUE"""),814292.0)</f>
        <v>814292</v>
      </c>
      <c r="B3878" s="2">
        <f>IFERROR(__xludf.DUMMYFUNCTION("""COMPUTED_VALUE"""),42750.457905721225)</f>
        <v>42750.45791</v>
      </c>
      <c r="C3878" s="1" t="str">
        <f>IFERROR(__xludf.DUMMYFUNCTION("""COMPUTED_VALUE"""),"treatment")</f>
        <v>treatment</v>
      </c>
      <c r="D3878" s="1" t="str">
        <f>IFERROR(__xludf.DUMMYFUNCTION("""COMPUTED_VALUE"""),"new_page")</f>
        <v>new_page</v>
      </c>
      <c r="E3878" s="1">
        <f>IFERROR(__xludf.DUMMYFUNCTION("""COMPUTED_VALUE"""),0.0)</f>
        <v>0</v>
      </c>
    </row>
    <row r="3879">
      <c r="A3879" s="1">
        <f>IFERROR(__xludf.DUMMYFUNCTION("""COMPUTED_VALUE"""),867899.0)</f>
        <v>867899</v>
      </c>
      <c r="B3879" s="2">
        <f>IFERROR(__xludf.DUMMYFUNCTION("""COMPUTED_VALUE"""),42753.58668708788)</f>
        <v>42753.58669</v>
      </c>
      <c r="C3879" s="1" t="str">
        <f>IFERROR(__xludf.DUMMYFUNCTION("""COMPUTED_VALUE"""),"control")</f>
        <v>control</v>
      </c>
      <c r="D3879" s="1" t="str">
        <f>IFERROR(__xludf.DUMMYFUNCTION("""COMPUTED_VALUE"""),"old_page")</f>
        <v>old_page</v>
      </c>
      <c r="E3879" s="1">
        <f>IFERROR(__xludf.DUMMYFUNCTION("""COMPUTED_VALUE"""),0.0)</f>
        <v>0</v>
      </c>
    </row>
    <row r="3880">
      <c r="A3880" s="1">
        <f>IFERROR(__xludf.DUMMYFUNCTION("""COMPUTED_VALUE"""),933902.0)</f>
        <v>933902</v>
      </c>
      <c r="B3880" s="2">
        <f>IFERROR(__xludf.DUMMYFUNCTION("""COMPUTED_VALUE"""),42741.31573092498)</f>
        <v>42741.31573</v>
      </c>
      <c r="C3880" s="1" t="str">
        <f>IFERROR(__xludf.DUMMYFUNCTION("""COMPUTED_VALUE"""),"treatment")</f>
        <v>treatment</v>
      </c>
      <c r="D3880" s="1" t="str">
        <f>IFERROR(__xludf.DUMMYFUNCTION("""COMPUTED_VALUE"""),"new_page")</f>
        <v>new_page</v>
      </c>
      <c r="E3880" s="1">
        <f>IFERROR(__xludf.DUMMYFUNCTION("""COMPUTED_VALUE"""),0.0)</f>
        <v>0</v>
      </c>
    </row>
    <row r="3881">
      <c r="A3881" s="1">
        <f>IFERROR(__xludf.DUMMYFUNCTION("""COMPUTED_VALUE"""),940515.0)</f>
        <v>940515</v>
      </c>
      <c r="B3881" s="2">
        <f>IFERROR(__xludf.DUMMYFUNCTION("""COMPUTED_VALUE"""),42742.79214128067)</f>
        <v>42742.79214</v>
      </c>
      <c r="C3881" s="1" t="str">
        <f>IFERROR(__xludf.DUMMYFUNCTION("""COMPUTED_VALUE"""),"treatment")</f>
        <v>treatment</v>
      </c>
      <c r="D3881" s="1" t="str">
        <f>IFERROR(__xludf.DUMMYFUNCTION("""COMPUTED_VALUE"""),"new_page")</f>
        <v>new_page</v>
      </c>
      <c r="E3881" s="1">
        <f>IFERROR(__xludf.DUMMYFUNCTION("""COMPUTED_VALUE"""),0.0)</f>
        <v>0</v>
      </c>
    </row>
    <row r="3882">
      <c r="A3882" s="1">
        <f>IFERROR(__xludf.DUMMYFUNCTION("""COMPUTED_VALUE"""),778762.0)</f>
        <v>778762</v>
      </c>
      <c r="B3882" s="2">
        <f>IFERROR(__xludf.DUMMYFUNCTION("""COMPUTED_VALUE"""),42759.35262161852)</f>
        <v>42759.35262</v>
      </c>
      <c r="C3882" s="1" t="str">
        <f>IFERROR(__xludf.DUMMYFUNCTION("""COMPUTED_VALUE"""),"treatment")</f>
        <v>treatment</v>
      </c>
      <c r="D3882" s="1" t="str">
        <f>IFERROR(__xludf.DUMMYFUNCTION("""COMPUTED_VALUE"""),"new_page")</f>
        <v>new_page</v>
      </c>
      <c r="E3882" s="1">
        <f>IFERROR(__xludf.DUMMYFUNCTION("""COMPUTED_VALUE"""),0.0)</f>
        <v>0</v>
      </c>
    </row>
    <row r="3883">
      <c r="A3883" s="1">
        <f>IFERROR(__xludf.DUMMYFUNCTION("""COMPUTED_VALUE"""),802556.0)</f>
        <v>802556</v>
      </c>
      <c r="B3883" s="2">
        <f>IFERROR(__xludf.DUMMYFUNCTION("""COMPUTED_VALUE"""),42754.97486416714)</f>
        <v>42754.97486</v>
      </c>
      <c r="C3883" s="1" t="str">
        <f>IFERROR(__xludf.DUMMYFUNCTION("""COMPUTED_VALUE"""),"treatment")</f>
        <v>treatment</v>
      </c>
      <c r="D3883" s="1" t="str">
        <f>IFERROR(__xludf.DUMMYFUNCTION("""COMPUTED_VALUE"""),"new_page")</f>
        <v>new_page</v>
      </c>
      <c r="E3883" s="1">
        <f>IFERROR(__xludf.DUMMYFUNCTION("""COMPUTED_VALUE"""),0.0)</f>
        <v>0</v>
      </c>
    </row>
    <row r="3884">
      <c r="A3884" s="1">
        <f>IFERROR(__xludf.DUMMYFUNCTION("""COMPUTED_VALUE"""),850966.0)</f>
        <v>850966</v>
      </c>
      <c r="B3884" s="2">
        <f>IFERROR(__xludf.DUMMYFUNCTION("""COMPUTED_VALUE"""),42739.355502196624)</f>
        <v>42739.3555</v>
      </c>
      <c r="C3884" s="1" t="str">
        <f>IFERROR(__xludf.DUMMYFUNCTION("""COMPUTED_VALUE"""),"treatment")</f>
        <v>treatment</v>
      </c>
      <c r="D3884" s="1" t="str">
        <f>IFERROR(__xludf.DUMMYFUNCTION("""COMPUTED_VALUE"""),"new_page")</f>
        <v>new_page</v>
      </c>
      <c r="E3884" s="1">
        <f>IFERROR(__xludf.DUMMYFUNCTION("""COMPUTED_VALUE"""),0.0)</f>
        <v>0</v>
      </c>
    </row>
    <row r="3885">
      <c r="A3885" s="1">
        <f>IFERROR(__xludf.DUMMYFUNCTION("""COMPUTED_VALUE"""),664415.0)</f>
        <v>664415</v>
      </c>
      <c r="B3885" s="2">
        <f>IFERROR(__xludf.DUMMYFUNCTION("""COMPUTED_VALUE"""),42742.76078010478)</f>
        <v>42742.76078</v>
      </c>
      <c r="C3885" s="1" t="str">
        <f>IFERROR(__xludf.DUMMYFUNCTION("""COMPUTED_VALUE"""),"control")</f>
        <v>control</v>
      </c>
      <c r="D3885" s="1" t="str">
        <f>IFERROR(__xludf.DUMMYFUNCTION("""COMPUTED_VALUE"""),"old_page")</f>
        <v>old_page</v>
      </c>
      <c r="E3885" s="1">
        <f>IFERROR(__xludf.DUMMYFUNCTION("""COMPUTED_VALUE"""),0.0)</f>
        <v>0</v>
      </c>
    </row>
    <row r="3886">
      <c r="A3886" s="1">
        <f>IFERROR(__xludf.DUMMYFUNCTION("""COMPUTED_VALUE"""),943213.0)</f>
        <v>943213</v>
      </c>
      <c r="B3886" s="2">
        <f>IFERROR(__xludf.DUMMYFUNCTION("""COMPUTED_VALUE"""),42758.95541688617)</f>
        <v>42758.95542</v>
      </c>
      <c r="C3886" s="1" t="str">
        <f>IFERROR(__xludf.DUMMYFUNCTION("""COMPUTED_VALUE"""),"treatment")</f>
        <v>treatment</v>
      </c>
      <c r="D3886" s="1" t="str">
        <f>IFERROR(__xludf.DUMMYFUNCTION("""COMPUTED_VALUE"""),"new_page")</f>
        <v>new_page</v>
      </c>
      <c r="E3886" s="1">
        <f>IFERROR(__xludf.DUMMYFUNCTION("""COMPUTED_VALUE"""),0.0)</f>
        <v>0</v>
      </c>
    </row>
    <row r="3887">
      <c r="A3887" s="1">
        <f>IFERROR(__xludf.DUMMYFUNCTION("""COMPUTED_VALUE"""),724642.0)</f>
        <v>724642</v>
      </c>
      <c r="B3887" s="2">
        <f>IFERROR(__xludf.DUMMYFUNCTION("""COMPUTED_VALUE"""),42747.83670229879)</f>
        <v>42747.8367</v>
      </c>
      <c r="C3887" s="1" t="str">
        <f>IFERROR(__xludf.DUMMYFUNCTION("""COMPUTED_VALUE"""),"treatment")</f>
        <v>treatment</v>
      </c>
      <c r="D3887" s="1" t="str">
        <f>IFERROR(__xludf.DUMMYFUNCTION("""COMPUTED_VALUE"""),"new_page")</f>
        <v>new_page</v>
      </c>
      <c r="E3887" s="1">
        <f>IFERROR(__xludf.DUMMYFUNCTION("""COMPUTED_VALUE"""),1.0)</f>
        <v>1</v>
      </c>
    </row>
    <row r="3888">
      <c r="A3888" s="1">
        <f>IFERROR(__xludf.DUMMYFUNCTION("""COMPUTED_VALUE"""),815368.0)</f>
        <v>815368</v>
      </c>
      <c r="B3888" s="2">
        <f>IFERROR(__xludf.DUMMYFUNCTION("""COMPUTED_VALUE"""),42756.90229619295)</f>
        <v>42756.9023</v>
      </c>
      <c r="C3888" s="1" t="str">
        <f>IFERROR(__xludf.DUMMYFUNCTION("""COMPUTED_VALUE"""),"control")</f>
        <v>control</v>
      </c>
      <c r="D3888" s="1" t="str">
        <f>IFERROR(__xludf.DUMMYFUNCTION("""COMPUTED_VALUE"""),"old_page")</f>
        <v>old_page</v>
      </c>
      <c r="E3888" s="1">
        <f>IFERROR(__xludf.DUMMYFUNCTION("""COMPUTED_VALUE"""),0.0)</f>
        <v>0</v>
      </c>
    </row>
    <row r="3889">
      <c r="A3889" s="1">
        <f>IFERROR(__xludf.DUMMYFUNCTION("""COMPUTED_VALUE"""),911317.0)</f>
        <v>911317</v>
      </c>
      <c r="B3889" s="2">
        <f>IFERROR(__xludf.DUMMYFUNCTION("""COMPUTED_VALUE"""),42744.176811386715)</f>
        <v>42744.17681</v>
      </c>
      <c r="C3889" s="1" t="str">
        <f>IFERROR(__xludf.DUMMYFUNCTION("""COMPUTED_VALUE"""),"control")</f>
        <v>control</v>
      </c>
      <c r="D3889" s="1" t="str">
        <f>IFERROR(__xludf.DUMMYFUNCTION("""COMPUTED_VALUE"""),"old_page")</f>
        <v>old_page</v>
      </c>
      <c r="E3889" s="1">
        <f>IFERROR(__xludf.DUMMYFUNCTION("""COMPUTED_VALUE"""),0.0)</f>
        <v>0</v>
      </c>
    </row>
    <row r="3890">
      <c r="A3890" s="1">
        <f>IFERROR(__xludf.DUMMYFUNCTION("""COMPUTED_VALUE"""),649814.0)</f>
        <v>649814</v>
      </c>
      <c r="B3890" s="2">
        <f>IFERROR(__xludf.DUMMYFUNCTION("""COMPUTED_VALUE"""),42757.8434828868)</f>
        <v>42757.84348</v>
      </c>
      <c r="C3890" s="1" t="str">
        <f>IFERROR(__xludf.DUMMYFUNCTION("""COMPUTED_VALUE"""),"control")</f>
        <v>control</v>
      </c>
      <c r="D3890" s="1" t="str">
        <f>IFERROR(__xludf.DUMMYFUNCTION("""COMPUTED_VALUE"""),"old_page")</f>
        <v>old_page</v>
      </c>
      <c r="E3890" s="1">
        <f>IFERROR(__xludf.DUMMYFUNCTION("""COMPUTED_VALUE"""),0.0)</f>
        <v>0</v>
      </c>
    </row>
    <row r="3891">
      <c r="A3891" s="1">
        <f>IFERROR(__xludf.DUMMYFUNCTION("""COMPUTED_VALUE"""),684349.0)</f>
        <v>684349</v>
      </c>
      <c r="B3891" s="2">
        <f>IFERROR(__xludf.DUMMYFUNCTION("""COMPUTED_VALUE"""),42758.82682539818)</f>
        <v>42758.82683</v>
      </c>
      <c r="C3891" s="1" t="str">
        <f>IFERROR(__xludf.DUMMYFUNCTION("""COMPUTED_VALUE"""),"treatment")</f>
        <v>treatment</v>
      </c>
      <c r="D3891" s="1" t="str">
        <f>IFERROR(__xludf.DUMMYFUNCTION("""COMPUTED_VALUE"""),"new_page")</f>
        <v>new_page</v>
      </c>
      <c r="E3891" s="1">
        <f>IFERROR(__xludf.DUMMYFUNCTION("""COMPUTED_VALUE"""),0.0)</f>
        <v>0</v>
      </c>
    </row>
    <row r="3892">
      <c r="A3892" s="1">
        <f>IFERROR(__xludf.DUMMYFUNCTION("""COMPUTED_VALUE"""),845071.0)</f>
        <v>845071</v>
      </c>
      <c r="B3892" s="2">
        <f>IFERROR(__xludf.DUMMYFUNCTION("""COMPUTED_VALUE"""),42752.04966088837)</f>
        <v>42752.04966</v>
      </c>
      <c r="C3892" s="1" t="str">
        <f>IFERROR(__xludf.DUMMYFUNCTION("""COMPUTED_VALUE"""),"treatment")</f>
        <v>treatment</v>
      </c>
      <c r="D3892" s="1" t="str">
        <f>IFERROR(__xludf.DUMMYFUNCTION("""COMPUTED_VALUE"""),"new_page")</f>
        <v>new_page</v>
      </c>
      <c r="E3892" s="1">
        <f>IFERROR(__xludf.DUMMYFUNCTION("""COMPUTED_VALUE"""),1.0)</f>
        <v>1</v>
      </c>
    </row>
    <row r="3893">
      <c r="A3893" s="1">
        <f>IFERROR(__xludf.DUMMYFUNCTION("""COMPUTED_VALUE"""),794545.0)</f>
        <v>794545</v>
      </c>
      <c r="B3893" s="2">
        <f>IFERROR(__xludf.DUMMYFUNCTION("""COMPUTED_VALUE"""),42749.46346885576)</f>
        <v>42749.46347</v>
      </c>
      <c r="C3893" s="1" t="str">
        <f>IFERROR(__xludf.DUMMYFUNCTION("""COMPUTED_VALUE"""),"control")</f>
        <v>control</v>
      </c>
      <c r="D3893" s="1" t="str">
        <f>IFERROR(__xludf.DUMMYFUNCTION("""COMPUTED_VALUE"""),"old_page")</f>
        <v>old_page</v>
      </c>
      <c r="E3893" s="1">
        <f>IFERROR(__xludf.DUMMYFUNCTION("""COMPUTED_VALUE"""),0.0)</f>
        <v>0</v>
      </c>
    </row>
    <row r="3894">
      <c r="A3894" s="1">
        <f>IFERROR(__xludf.DUMMYFUNCTION("""COMPUTED_VALUE"""),795851.0)</f>
        <v>795851</v>
      </c>
      <c r="B3894" s="2">
        <f>IFERROR(__xludf.DUMMYFUNCTION("""COMPUTED_VALUE"""),42740.05193471964)</f>
        <v>42740.05193</v>
      </c>
      <c r="C3894" s="1" t="str">
        <f>IFERROR(__xludf.DUMMYFUNCTION("""COMPUTED_VALUE"""),"treatment")</f>
        <v>treatment</v>
      </c>
      <c r="D3894" s="1" t="str">
        <f>IFERROR(__xludf.DUMMYFUNCTION("""COMPUTED_VALUE"""),"new_page")</f>
        <v>new_page</v>
      </c>
      <c r="E3894" s="1">
        <f>IFERROR(__xludf.DUMMYFUNCTION("""COMPUTED_VALUE"""),0.0)</f>
        <v>0</v>
      </c>
    </row>
    <row r="3895">
      <c r="A3895" s="1">
        <f>IFERROR(__xludf.DUMMYFUNCTION("""COMPUTED_VALUE"""),775935.0)</f>
        <v>775935</v>
      </c>
      <c r="B3895" s="2">
        <f>IFERROR(__xludf.DUMMYFUNCTION("""COMPUTED_VALUE"""),42737.96279636362)</f>
        <v>42737.9628</v>
      </c>
      <c r="C3895" s="1" t="str">
        <f>IFERROR(__xludf.DUMMYFUNCTION("""COMPUTED_VALUE"""),"control")</f>
        <v>control</v>
      </c>
      <c r="D3895" s="1" t="str">
        <f>IFERROR(__xludf.DUMMYFUNCTION("""COMPUTED_VALUE"""),"old_page")</f>
        <v>old_page</v>
      </c>
      <c r="E3895" s="1">
        <f>IFERROR(__xludf.DUMMYFUNCTION("""COMPUTED_VALUE"""),0.0)</f>
        <v>0</v>
      </c>
    </row>
    <row r="3896">
      <c r="A3896" s="1">
        <f>IFERROR(__xludf.DUMMYFUNCTION("""COMPUTED_VALUE"""),775690.0)</f>
        <v>775690</v>
      </c>
      <c r="B3896" s="2">
        <f>IFERROR(__xludf.DUMMYFUNCTION("""COMPUTED_VALUE"""),42739.95621541593)</f>
        <v>42739.95622</v>
      </c>
      <c r="C3896" s="1" t="str">
        <f>IFERROR(__xludf.DUMMYFUNCTION("""COMPUTED_VALUE"""),"control")</f>
        <v>control</v>
      </c>
      <c r="D3896" s="1" t="str">
        <f>IFERROR(__xludf.DUMMYFUNCTION("""COMPUTED_VALUE"""),"old_page")</f>
        <v>old_page</v>
      </c>
      <c r="E3896" s="1">
        <f>IFERROR(__xludf.DUMMYFUNCTION("""COMPUTED_VALUE"""),0.0)</f>
        <v>0</v>
      </c>
    </row>
    <row r="3897">
      <c r="A3897" s="1">
        <f>IFERROR(__xludf.DUMMYFUNCTION("""COMPUTED_VALUE"""),724030.0)</f>
        <v>724030</v>
      </c>
      <c r="B3897" s="2">
        <f>IFERROR(__xludf.DUMMYFUNCTION("""COMPUTED_VALUE"""),42746.62647741366)</f>
        <v>42746.62648</v>
      </c>
      <c r="C3897" s="1" t="str">
        <f>IFERROR(__xludf.DUMMYFUNCTION("""COMPUTED_VALUE"""),"control")</f>
        <v>control</v>
      </c>
      <c r="D3897" s="1" t="str">
        <f>IFERROR(__xludf.DUMMYFUNCTION("""COMPUTED_VALUE"""),"old_page")</f>
        <v>old_page</v>
      </c>
      <c r="E3897" s="1">
        <f>IFERROR(__xludf.DUMMYFUNCTION("""COMPUTED_VALUE"""),0.0)</f>
        <v>0</v>
      </c>
    </row>
    <row r="3898">
      <c r="A3898" s="1">
        <f>IFERROR(__xludf.DUMMYFUNCTION("""COMPUTED_VALUE"""),903616.0)</f>
        <v>903616</v>
      </c>
      <c r="B3898" s="2">
        <f>IFERROR(__xludf.DUMMYFUNCTION("""COMPUTED_VALUE"""),42751.61146166847)</f>
        <v>42751.61146</v>
      </c>
      <c r="C3898" s="1" t="str">
        <f>IFERROR(__xludf.DUMMYFUNCTION("""COMPUTED_VALUE"""),"treatment")</f>
        <v>treatment</v>
      </c>
      <c r="D3898" s="1" t="str">
        <f>IFERROR(__xludf.DUMMYFUNCTION("""COMPUTED_VALUE"""),"new_page")</f>
        <v>new_page</v>
      </c>
      <c r="E3898" s="1">
        <f>IFERROR(__xludf.DUMMYFUNCTION("""COMPUTED_VALUE"""),0.0)</f>
        <v>0</v>
      </c>
    </row>
    <row r="3899">
      <c r="A3899" s="1">
        <f>IFERROR(__xludf.DUMMYFUNCTION("""COMPUTED_VALUE"""),941101.0)</f>
        <v>941101</v>
      </c>
      <c r="B3899" s="2">
        <f>IFERROR(__xludf.DUMMYFUNCTION("""COMPUTED_VALUE"""),42757.50597832066)</f>
        <v>42757.50598</v>
      </c>
      <c r="C3899" s="1" t="str">
        <f>IFERROR(__xludf.DUMMYFUNCTION("""COMPUTED_VALUE"""),"treatment")</f>
        <v>treatment</v>
      </c>
      <c r="D3899" s="1" t="str">
        <f>IFERROR(__xludf.DUMMYFUNCTION("""COMPUTED_VALUE"""),"new_page")</f>
        <v>new_page</v>
      </c>
      <c r="E3899" s="1">
        <f>IFERROR(__xludf.DUMMYFUNCTION("""COMPUTED_VALUE"""),0.0)</f>
        <v>0</v>
      </c>
    </row>
    <row r="3900">
      <c r="A3900" s="1">
        <f>IFERROR(__xludf.DUMMYFUNCTION("""COMPUTED_VALUE"""),730023.0)</f>
        <v>730023</v>
      </c>
      <c r="B3900" s="2">
        <f>IFERROR(__xludf.DUMMYFUNCTION("""COMPUTED_VALUE"""),42741.37729568116)</f>
        <v>42741.3773</v>
      </c>
      <c r="C3900" s="1" t="str">
        <f>IFERROR(__xludf.DUMMYFUNCTION("""COMPUTED_VALUE"""),"treatment")</f>
        <v>treatment</v>
      </c>
      <c r="D3900" s="1" t="str">
        <f>IFERROR(__xludf.DUMMYFUNCTION("""COMPUTED_VALUE"""),"new_page")</f>
        <v>new_page</v>
      </c>
      <c r="E3900" s="1">
        <f>IFERROR(__xludf.DUMMYFUNCTION("""COMPUTED_VALUE"""),0.0)</f>
        <v>0</v>
      </c>
    </row>
    <row r="3901">
      <c r="A3901" s="1">
        <f>IFERROR(__xludf.DUMMYFUNCTION("""COMPUTED_VALUE"""),787382.0)</f>
        <v>787382</v>
      </c>
      <c r="B3901" s="2">
        <f>IFERROR(__xludf.DUMMYFUNCTION("""COMPUTED_VALUE"""),42758.195803235154)</f>
        <v>42758.1958</v>
      </c>
      <c r="C3901" s="1" t="str">
        <f>IFERROR(__xludf.DUMMYFUNCTION("""COMPUTED_VALUE"""),"control")</f>
        <v>control</v>
      </c>
      <c r="D3901" s="1" t="str">
        <f>IFERROR(__xludf.DUMMYFUNCTION("""COMPUTED_VALUE"""),"old_page")</f>
        <v>old_page</v>
      </c>
      <c r="E3901" s="1">
        <f>IFERROR(__xludf.DUMMYFUNCTION("""COMPUTED_VALUE"""),0.0)</f>
        <v>0</v>
      </c>
    </row>
    <row r="3902">
      <c r="A3902" s="1">
        <f>IFERROR(__xludf.DUMMYFUNCTION("""COMPUTED_VALUE"""),834484.0)</f>
        <v>834484</v>
      </c>
      <c r="B3902" s="2">
        <f>IFERROR(__xludf.DUMMYFUNCTION("""COMPUTED_VALUE"""),42752.91721689724)</f>
        <v>42752.91722</v>
      </c>
      <c r="C3902" s="1" t="str">
        <f>IFERROR(__xludf.DUMMYFUNCTION("""COMPUTED_VALUE"""),"control")</f>
        <v>control</v>
      </c>
      <c r="D3902" s="1" t="str">
        <f>IFERROR(__xludf.DUMMYFUNCTION("""COMPUTED_VALUE"""),"old_page")</f>
        <v>old_page</v>
      </c>
      <c r="E3902" s="1">
        <f>IFERROR(__xludf.DUMMYFUNCTION("""COMPUTED_VALUE"""),0.0)</f>
        <v>0</v>
      </c>
    </row>
    <row r="3903">
      <c r="A3903" s="1">
        <f>IFERROR(__xludf.DUMMYFUNCTION("""COMPUTED_VALUE"""),673576.0)</f>
        <v>673576</v>
      </c>
      <c r="B3903" s="2">
        <f>IFERROR(__xludf.DUMMYFUNCTION("""COMPUTED_VALUE"""),42744.90279649006)</f>
        <v>42744.9028</v>
      </c>
      <c r="C3903" s="1" t="str">
        <f>IFERROR(__xludf.DUMMYFUNCTION("""COMPUTED_VALUE"""),"control")</f>
        <v>control</v>
      </c>
      <c r="D3903" s="1" t="str">
        <f>IFERROR(__xludf.DUMMYFUNCTION("""COMPUTED_VALUE"""),"old_page")</f>
        <v>old_page</v>
      </c>
      <c r="E3903" s="1">
        <f>IFERROR(__xludf.DUMMYFUNCTION("""COMPUTED_VALUE"""),0.0)</f>
        <v>0</v>
      </c>
    </row>
    <row r="3904">
      <c r="A3904" s="1">
        <f>IFERROR(__xludf.DUMMYFUNCTION("""COMPUTED_VALUE"""),854665.0)</f>
        <v>854665</v>
      </c>
      <c r="B3904" s="2">
        <f>IFERROR(__xludf.DUMMYFUNCTION("""COMPUTED_VALUE"""),42744.53664516251)</f>
        <v>42744.53665</v>
      </c>
      <c r="C3904" s="1" t="str">
        <f>IFERROR(__xludf.DUMMYFUNCTION("""COMPUTED_VALUE"""),"control")</f>
        <v>control</v>
      </c>
      <c r="D3904" s="1" t="str">
        <f>IFERROR(__xludf.DUMMYFUNCTION("""COMPUTED_VALUE"""),"old_page")</f>
        <v>old_page</v>
      </c>
      <c r="E3904" s="1">
        <f>IFERROR(__xludf.DUMMYFUNCTION("""COMPUTED_VALUE"""),0.0)</f>
        <v>0</v>
      </c>
    </row>
    <row r="3905">
      <c r="A3905" s="1">
        <f>IFERROR(__xludf.DUMMYFUNCTION("""COMPUTED_VALUE"""),855630.0)</f>
        <v>855630</v>
      </c>
      <c r="B3905" s="2">
        <f>IFERROR(__xludf.DUMMYFUNCTION("""COMPUTED_VALUE"""),42745.68334629293)</f>
        <v>42745.68335</v>
      </c>
      <c r="C3905" s="1" t="str">
        <f>IFERROR(__xludf.DUMMYFUNCTION("""COMPUTED_VALUE"""),"control")</f>
        <v>control</v>
      </c>
      <c r="D3905" s="1" t="str">
        <f>IFERROR(__xludf.DUMMYFUNCTION("""COMPUTED_VALUE"""),"new_page")</f>
        <v>new_page</v>
      </c>
      <c r="E3905" s="1">
        <f>IFERROR(__xludf.DUMMYFUNCTION("""COMPUTED_VALUE"""),1.0)</f>
        <v>1</v>
      </c>
    </row>
    <row r="3906">
      <c r="A3906" s="1">
        <f>IFERROR(__xludf.DUMMYFUNCTION("""COMPUTED_VALUE"""),775361.0)</f>
        <v>775361</v>
      </c>
      <c r="B3906" s="2">
        <f>IFERROR(__xludf.DUMMYFUNCTION("""COMPUTED_VALUE"""),42751.35736058042)</f>
        <v>42751.35736</v>
      </c>
      <c r="C3906" s="1" t="str">
        <f>IFERROR(__xludf.DUMMYFUNCTION("""COMPUTED_VALUE"""),"control")</f>
        <v>control</v>
      </c>
      <c r="D3906" s="1" t="str">
        <f>IFERROR(__xludf.DUMMYFUNCTION("""COMPUTED_VALUE"""),"old_page")</f>
        <v>old_page</v>
      </c>
      <c r="E3906" s="1">
        <f>IFERROR(__xludf.DUMMYFUNCTION("""COMPUTED_VALUE"""),0.0)</f>
        <v>0</v>
      </c>
    </row>
    <row r="3907">
      <c r="A3907" s="1">
        <f>IFERROR(__xludf.DUMMYFUNCTION("""COMPUTED_VALUE"""),799167.0)</f>
        <v>799167</v>
      </c>
      <c r="B3907" s="2">
        <f>IFERROR(__xludf.DUMMYFUNCTION("""COMPUTED_VALUE"""),42750.552329909326)</f>
        <v>42750.55233</v>
      </c>
      <c r="C3907" s="1" t="str">
        <f>IFERROR(__xludf.DUMMYFUNCTION("""COMPUTED_VALUE"""),"control")</f>
        <v>control</v>
      </c>
      <c r="D3907" s="1" t="str">
        <f>IFERROR(__xludf.DUMMYFUNCTION("""COMPUTED_VALUE"""),"old_page")</f>
        <v>old_page</v>
      </c>
      <c r="E3907" s="1">
        <f>IFERROR(__xludf.DUMMYFUNCTION("""COMPUTED_VALUE"""),1.0)</f>
        <v>1</v>
      </c>
    </row>
    <row r="3908">
      <c r="A3908" s="1">
        <f>IFERROR(__xludf.DUMMYFUNCTION("""COMPUTED_VALUE"""),937063.0)</f>
        <v>937063</v>
      </c>
      <c r="B3908" s="2">
        <f>IFERROR(__xludf.DUMMYFUNCTION("""COMPUTED_VALUE"""),42756.48096519323)</f>
        <v>42756.48097</v>
      </c>
      <c r="C3908" s="1" t="str">
        <f>IFERROR(__xludf.DUMMYFUNCTION("""COMPUTED_VALUE"""),"control")</f>
        <v>control</v>
      </c>
      <c r="D3908" s="1" t="str">
        <f>IFERROR(__xludf.DUMMYFUNCTION("""COMPUTED_VALUE"""),"old_page")</f>
        <v>old_page</v>
      </c>
      <c r="E3908" s="1">
        <f>IFERROR(__xludf.DUMMYFUNCTION("""COMPUTED_VALUE"""),0.0)</f>
        <v>0</v>
      </c>
    </row>
    <row r="3909">
      <c r="A3909" s="1">
        <f>IFERROR(__xludf.DUMMYFUNCTION("""COMPUTED_VALUE"""),690641.0)</f>
        <v>690641</v>
      </c>
      <c r="B3909" s="2">
        <f>IFERROR(__xludf.DUMMYFUNCTION("""COMPUTED_VALUE"""),42756.009639283286)</f>
        <v>42756.00964</v>
      </c>
      <c r="C3909" s="1" t="str">
        <f>IFERROR(__xludf.DUMMYFUNCTION("""COMPUTED_VALUE"""),"control")</f>
        <v>control</v>
      </c>
      <c r="D3909" s="1" t="str">
        <f>IFERROR(__xludf.DUMMYFUNCTION("""COMPUTED_VALUE"""),"old_page")</f>
        <v>old_page</v>
      </c>
      <c r="E3909" s="1">
        <f>IFERROR(__xludf.DUMMYFUNCTION("""COMPUTED_VALUE"""),0.0)</f>
        <v>0</v>
      </c>
    </row>
    <row r="3910">
      <c r="A3910" s="1">
        <f>IFERROR(__xludf.DUMMYFUNCTION("""COMPUTED_VALUE"""),844922.0)</f>
        <v>844922</v>
      </c>
      <c r="B3910" s="2">
        <f>IFERROR(__xludf.DUMMYFUNCTION("""COMPUTED_VALUE"""),42745.52363723433)</f>
        <v>42745.52364</v>
      </c>
      <c r="C3910" s="1" t="str">
        <f>IFERROR(__xludf.DUMMYFUNCTION("""COMPUTED_VALUE"""),"treatment")</f>
        <v>treatment</v>
      </c>
      <c r="D3910" s="1" t="str">
        <f>IFERROR(__xludf.DUMMYFUNCTION("""COMPUTED_VALUE"""),"new_page")</f>
        <v>new_page</v>
      </c>
      <c r="E3910" s="1">
        <f>IFERROR(__xludf.DUMMYFUNCTION("""COMPUTED_VALUE"""),0.0)</f>
        <v>0</v>
      </c>
    </row>
    <row r="3911">
      <c r="A3911" s="1">
        <f>IFERROR(__xludf.DUMMYFUNCTION("""COMPUTED_VALUE"""),706621.0)</f>
        <v>706621</v>
      </c>
      <c r="B3911" s="2">
        <f>IFERROR(__xludf.DUMMYFUNCTION("""COMPUTED_VALUE"""),42742.16070031796)</f>
        <v>42742.1607</v>
      </c>
      <c r="C3911" s="1" t="str">
        <f>IFERROR(__xludf.DUMMYFUNCTION("""COMPUTED_VALUE"""),"treatment")</f>
        <v>treatment</v>
      </c>
      <c r="D3911" s="1" t="str">
        <f>IFERROR(__xludf.DUMMYFUNCTION("""COMPUTED_VALUE"""),"new_page")</f>
        <v>new_page</v>
      </c>
      <c r="E3911" s="1">
        <f>IFERROR(__xludf.DUMMYFUNCTION("""COMPUTED_VALUE"""),1.0)</f>
        <v>1</v>
      </c>
    </row>
    <row r="3912">
      <c r="A3912" s="1">
        <f>IFERROR(__xludf.DUMMYFUNCTION("""COMPUTED_VALUE"""),747539.0)</f>
        <v>747539</v>
      </c>
      <c r="B3912" s="2">
        <f>IFERROR(__xludf.DUMMYFUNCTION("""COMPUTED_VALUE"""),42759.2762921214)</f>
        <v>42759.27629</v>
      </c>
      <c r="C3912" s="1" t="str">
        <f>IFERROR(__xludf.DUMMYFUNCTION("""COMPUTED_VALUE"""),"treatment")</f>
        <v>treatment</v>
      </c>
      <c r="D3912" s="1" t="str">
        <f>IFERROR(__xludf.DUMMYFUNCTION("""COMPUTED_VALUE"""),"new_page")</f>
        <v>new_page</v>
      </c>
      <c r="E3912" s="1">
        <f>IFERROR(__xludf.DUMMYFUNCTION("""COMPUTED_VALUE"""),0.0)</f>
        <v>0</v>
      </c>
    </row>
    <row r="3913">
      <c r="A3913" s="1">
        <f>IFERROR(__xludf.DUMMYFUNCTION("""COMPUTED_VALUE"""),748322.0)</f>
        <v>748322</v>
      </c>
      <c r="B3913" s="2">
        <f>IFERROR(__xludf.DUMMYFUNCTION("""COMPUTED_VALUE"""),42748.21589637815)</f>
        <v>42748.2159</v>
      </c>
      <c r="C3913" s="1" t="str">
        <f>IFERROR(__xludf.DUMMYFUNCTION("""COMPUTED_VALUE"""),"treatment")</f>
        <v>treatment</v>
      </c>
      <c r="D3913" s="1" t="str">
        <f>IFERROR(__xludf.DUMMYFUNCTION("""COMPUTED_VALUE"""),"new_page")</f>
        <v>new_page</v>
      </c>
      <c r="E3913" s="1">
        <f>IFERROR(__xludf.DUMMYFUNCTION("""COMPUTED_VALUE"""),1.0)</f>
        <v>1</v>
      </c>
    </row>
    <row r="3914">
      <c r="A3914" s="1">
        <f>IFERROR(__xludf.DUMMYFUNCTION("""COMPUTED_VALUE"""),631814.0)</f>
        <v>631814</v>
      </c>
      <c r="B3914" s="2">
        <f>IFERROR(__xludf.DUMMYFUNCTION("""COMPUTED_VALUE"""),42756.35228894823)</f>
        <v>42756.35229</v>
      </c>
      <c r="C3914" s="1" t="str">
        <f>IFERROR(__xludf.DUMMYFUNCTION("""COMPUTED_VALUE"""),"treatment")</f>
        <v>treatment</v>
      </c>
      <c r="D3914" s="1" t="str">
        <f>IFERROR(__xludf.DUMMYFUNCTION("""COMPUTED_VALUE"""),"new_page")</f>
        <v>new_page</v>
      </c>
      <c r="E3914" s="1">
        <f>IFERROR(__xludf.DUMMYFUNCTION("""COMPUTED_VALUE"""),0.0)</f>
        <v>0</v>
      </c>
    </row>
    <row r="3915">
      <c r="A3915" s="1">
        <f>IFERROR(__xludf.DUMMYFUNCTION("""COMPUTED_VALUE"""),937090.0)</f>
        <v>937090</v>
      </c>
      <c r="B3915" s="2">
        <f>IFERROR(__xludf.DUMMYFUNCTION("""COMPUTED_VALUE"""),42757.318627284745)</f>
        <v>42757.31863</v>
      </c>
      <c r="C3915" s="1" t="str">
        <f>IFERROR(__xludf.DUMMYFUNCTION("""COMPUTED_VALUE"""),"control")</f>
        <v>control</v>
      </c>
      <c r="D3915" s="1" t="str">
        <f>IFERROR(__xludf.DUMMYFUNCTION("""COMPUTED_VALUE"""),"new_page")</f>
        <v>new_page</v>
      </c>
      <c r="E3915" s="1">
        <f>IFERROR(__xludf.DUMMYFUNCTION("""COMPUTED_VALUE"""),0.0)</f>
        <v>0</v>
      </c>
    </row>
    <row r="3916">
      <c r="A3916" s="1">
        <f>IFERROR(__xludf.DUMMYFUNCTION("""COMPUTED_VALUE"""),759415.0)</f>
        <v>759415</v>
      </c>
      <c r="B3916" s="2">
        <f>IFERROR(__xludf.DUMMYFUNCTION("""COMPUTED_VALUE"""),42738.4335728038)</f>
        <v>42738.43357</v>
      </c>
      <c r="C3916" s="1" t="str">
        <f>IFERROR(__xludf.DUMMYFUNCTION("""COMPUTED_VALUE"""),"treatment")</f>
        <v>treatment</v>
      </c>
      <c r="D3916" s="1" t="str">
        <f>IFERROR(__xludf.DUMMYFUNCTION("""COMPUTED_VALUE"""),"new_page")</f>
        <v>new_page</v>
      </c>
      <c r="E3916" s="1">
        <f>IFERROR(__xludf.DUMMYFUNCTION("""COMPUTED_VALUE"""),0.0)</f>
        <v>0</v>
      </c>
    </row>
    <row r="3917">
      <c r="A3917" s="1">
        <f>IFERROR(__xludf.DUMMYFUNCTION("""COMPUTED_VALUE"""),635155.0)</f>
        <v>635155</v>
      </c>
      <c r="B3917" s="2">
        <f>IFERROR(__xludf.DUMMYFUNCTION("""COMPUTED_VALUE"""),42741.27797356316)</f>
        <v>42741.27797</v>
      </c>
      <c r="C3917" s="1" t="str">
        <f>IFERROR(__xludf.DUMMYFUNCTION("""COMPUTED_VALUE"""),"control")</f>
        <v>control</v>
      </c>
      <c r="D3917" s="1" t="str">
        <f>IFERROR(__xludf.DUMMYFUNCTION("""COMPUTED_VALUE"""),"old_page")</f>
        <v>old_page</v>
      </c>
      <c r="E3917" s="1">
        <f>IFERROR(__xludf.DUMMYFUNCTION("""COMPUTED_VALUE"""),1.0)</f>
        <v>1</v>
      </c>
    </row>
    <row r="3918">
      <c r="A3918" s="1">
        <f>IFERROR(__xludf.DUMMYFUNCTION("""COMPUTED_VALUE"""),900380.0)</f>
        <v>900380</v>
      </c>
      <c r="B3918" s="2">
        <f>IFERROR(__xludf.DUMMYFUNCTION("""COMPUTED_VALUE"""),42741.9732157735)</f>
        <v>42741.97322</v>
      </c>
      <c r="C3918" s="1" t="str">
        <f>IFERROR(__xludf.DUMMYFUNCTION("""COMPUTED_VALUE"""),"control")</f>
        <v>control</v>
      </c>
      <c r="D3918" s="1" t="str">
        <f>IFERROR(__xludf.DUMMYFUNCTION("""COMPUTED_VALUE"""),"old_page")</f>
        <v>old_page</v>
      </c>
      <c r="E3918" s="1">
        <f>IFERROR(__xludf.DUMMYFUNCTION("""COMPUTED_VALUE"""),0.0)</f>
        <v>0</v>
      </c>
    </row>
    <row r="3919">
      <c r="A3919" s="1">
        <f>IFERROR(__xludf.DUMMYFUNCTION("""COMPUTED_VALUE"""),868922.0)</f>
        <v>868922</v>
      </c>
      <c r="B3919" s="2">
        <f>IFERROR(__xludf.DUMMYFUNCTION("""COMPUTED_VALUE"""),42754.64365282493)</f>
        <v>42754.64365</v>
      </c>
      <c r="C3919" s="1" t="str">
        <f>IFERROR(__xludf.DUMMYFUNCTION("""COMPUTED_VALUE"""),"control")</f>
        <v>control</v>
      </c>
      <c r="D3919" s="1" t="str">
        <f>IFERROR(__xludf.DUMMYFUNCTION("""COMPUTED_VALUE"""),"old_page")</f>
        <v>old_page</v>
      </c>
      <c r="E3919" s="1">
        <f>IFERROR(__xludf.DUMMYFUNCTION("""COMPUTED_VALUE"""),0.0)</f>
        <v>0</v>
      </c>
    </row>
    <row r="3920">
      <c r="A3920" s="1">
        <f>IFERROR(__xludf.DUMMYFUNCTION("""COMPUTED_VALUE"""),683868.0)</f>
        <v>683868</v>
      </c>
      <c r="B3920" s="2">
        <f>IFERROR(__xludf.DUMMYFUNCTION("""COMPUTED_VALUE"""),42747.2636378766)</f>
        <v>42747.26364</v>
      </c>
      <c r="C3920" s="1" t="str">
        <f>IFERROR(__xludf.DUMMYFUNCTION("""COMPUTED_VALUE"""),"treatment")</f>
        <v>treatment</v>
      </c>
      <c r="D3920" s="1" t="str">
        <f>IFERROR(__xludf.DUMMYFUNCTION("""COMPUTED_VALUE"""),"new_page")</f>
        <v>new_page</v>
      </c>
      <c r="E3920" s="1">
        <f>IFERROR(__xludf.DUMMYFUNCTION("""COMPUTED_VALUE"""),0.0)</f>
        <v>0</v>
      </c>
    </row>
    <row r="3921">
      <c r="A3921" s="1">
        <f>IFERROR(__xludf.DUMMYFUNCTION("""COMPUTED_VALUE"""),918792.0)</f>
        <v>918792</v>
      </c>
      <c r="B3921" s="2">
        <f>IFERROR(__xludf.DUMMYFUNCTION("""COMPUTED_VALUE"""),42738.00884510074)</f>
        <v>42738.00885</v>
      </c>
      <c r="C3921" s="1" t="str">
        <f>IFERROR(__xludf.DUMMYFUNCTION("""COMPUTED_VALUE"""),"control")</f>
        <v>control</v>
      </c>
      <c r="D3921" s="1" t="str">
        <f>IFERROR(__xludf.DUMMYFUNCTION("""COMPUTED_VALUE"""),"old_page")</f>
        <v>old_page</v>
      </c>
      <c r="E3921" s="1">
        <f>IFERROR(__xludf.DUMMYFUNCTION("""COMPUTED_VALUE"""),0.0)</f>
        <v>0</v>
      </c>
    </row>
    <row r="3922">
      <c r="A3922" s="1">
        <f>IFERROR(__xludf.DUMMYFUNCTION("""COMPUTED_VALUE"""),870374.0)</f>
        <v>870374</v>
      </c>
      <c r="B3922" s="2">
        <f>IFERROR(__xludf.DUMMYFUNCTION("""COMPUTED_VALUE"""),42747.418797105995)</f>
        <v>42747.4188</v>
      </c>
      <c r="C3922" s="1" t="str">
        <f>IFERROR(__xludf.DUMMYFUNCTION("""COMPUTED_VALUE"""),"control")</f>
        <v>control</v>
      </c>
      <c r="D3922" s="1" t="str">
        <f>IFERROR(__xludf.DUMMYFUNCTION("""COMPUTED_VALUE"""),"old_page")</f>
        <v>old_page</v>
      </c>
      <c r="E3922" s="1">
        <f>IFERROR(__xludf.DUMMYFUNCTION("""COMPUTED_VALUE"""),0.0)</f>
        <v>0</v>
      </c>
    </row>
    <row r="3923">
      <c r="A3923" s="1">
        <f>IFERROR(__xludf.DUMMYFUNCTION("""COMPUTED_VALUE"""),800336.0)</f>
        <v>800336</v>
      </c>
      <c r="B3923" s="2">
        <f>IFERROR(__xludf.DUMMYFUNCTION("""COMPUTED_VALUE"""),42749.936489295964)</f>
        <v>42749.93649</v>
      </c>
      <c r="C3923" s="1" t="str">
        <f>IFERROR(__xludf.DUMMYFUNCTION("""COMPUTED_VALUE"""),"treatment")</f>
        <v>treatment</v>
      </c>
      <c r="D3923" s="1" t="str">
        <f>IFERROR(__xludf.DUMMYFUNCTION("""COMPUTED_VALUE"""),"new_page")</f>
        <v>new_page</v>
      </c>
      <c r="E3923" s="1">
        <f>IFERROR(__xludf.DUMMYFUNCTION("""COMPUTED_VALUE"""),0.0)</f>
        <v>0</v>
      </c>
    </row>
    <row r="3924">
      <c r="A3924" s="1">
        <f>IFERROR(__xludf.DUMMYFUNCTION("""COMPUTED_VALUE"""),798638.0)</f>
        <v>798638</v>
      </c>
      <c r="B3924" s="2">
        <f>IFERROR(__xludf.DUMMYFUNCTION("""COMPUTED_VALUE"""),42750.0500680653)</f>
        <v>42750.05007</v>
      </c>
      <c r="C3924" s="1" t="str">
        <f>IFERROR(__xludf.DUMMYFUNCTION("""COMPUTED_VALUE"""),"treatment")</f>
        <v>treatment</v>
      </c>
      <c r="D3924" s="1" t="str">
        <f>IFERROR(__xludf.DUMMYFUNCTION("""COMPUTED_VALUE"""),"new_page")</f>
        <v>new_page</v>
      </c>
      <c r="E3924" s="1">
        <f>IFERROR(__xludf.DUMMYFUNCTION("""COMPUTED_VALUE"""),0.0)</f>
        <v>0</v>
      </c>
    </row>
    <row r="3925">
      <c r="A3925" s="1">
        <f>IFERROR(__xludf.DUMMYFUNCTION("""COMPUTED_VALUE"""),873583.0)</f>
        <v>873583</v>
      </c>
      <c r="B3925" s="2">
        <f>IFERROR(__xludf.DUMMYFUNCTION("""COMPUTED_VALUE"""),42750.98274593756)</f>
        <v>42750.98275</v>
      </c>
      <c r="C3925" s="1" t="str">
        <f>IFERROR(__xludf.DUMMYFUNCTION("""COMPUTED_VALUE"""),"control")</f>
        <v>control</v>
      </c>
      <c r="D3925" s="1" t="str">
        <f>IFERROR(__xludf.DUMMYFUNCTION("""COMPUTED_VALUE"""),"old_page")</f>
        <v>old_page</v>
      </c>
      <c r="E3925" s="1">
        <f>IFERROR(__xludf.DUMMYFUNCTION("""COMPUTED_VALUE"""),0.0)</f>
        <v>0</v>
      </c>
    </row>
    <row r="3926">
      <c r="A3926" s="1">
        <f>IFERROR(__xludf.DUMMYFUNCTION("""COMPUTED_VALUE"""),847663.0)</f>
        <v>847663</v>
      </c>
      <c r="B3926" s="2">
        <f>IFERROR(__xludf.DUMMYFUNCTION("""COMPUTED_VALUE"""),42758.88576257373)</f>
        <v>42758.88576</v>
      </c>
      <c r="C3926" s="1" t="str">
        <f>IFERROR(__xludf.DUMMYFUNCTION("""COMPUTED_VALUE"""),"treatment")</f>
        <v>treatment</v>
      </c>
      <c r="D3926" s="1" t="str">
        <f>IFERROR(__xludf.DUMMYFUNCTION("""COMPUTED_VALUE"""),"new_page")</f>
        <v>new_page</v>
      </c>
      <c r="E3926" s="1">
        <f>IFERROR(__xludf.DUMMYFUNCTION("""COMPUTED_VALUE"""),0.0)</f>
        <v>0</v>
      </c>
    </row>
    <row r="3927">
      <c r="A3927" s="1">
        <f>IFERROR(__xludf.DUMMYFUNCTION("""COMPUTED_VALUE"""),648389.0)</f>
        <v>648389</v>
      </c>
      <c r="B3927" s="2">
        <f>IFERROR(__xludf.DUMMYFUNCTION("""COMPUTED_VALUE"""),42738.83827205145)</f>
        <v>42738.83827</v>
      </c>
      <c r="C3927" s="1" t="str">
        <f>IFERROR(__xludf.DUMMYFUNCTION("""COMPUTED_VALUE"""),"control")</f>
        <v>control</v>
      </c>
      <c r="D3927" s="1" t="str">
        <f>IFERROR(__xludf.DUMMYFUNCTION("""COMPUTED_VALUE"""),"old_page")</f>
        <v>old_page</v>
      </c>
      <c r="E3927" s="1">
        <f>IFERROR(__xludf.DUMMYFUNCTION("""COMPUTED_VALUE"""),0.0)</f>
        <v>0</v>
      </c>
    </row>
    <row r="3928">
      <c r="A3928" s="1">
        <f>IFERROR(__xludf.DUMMYFUNCTION("""COMPUTED_VALUE"""),896773.0)</f>
        <v>896773</v>
      </c>
      <c r="B3928" s="2">
        <f>IFERROR(__xludf.DUMMYFUNCTION("""COMPUTED_VALUE"""),42739.969037083516)</f>
        <v>42739.96904</v>
      </c>
      <c r="C3928" s="1" t="str">
        <f>IFERROR(__xludf.DUMMYFUNCTION("""COMPUTED_VALUE"""),"control")</f>
        <v>control</v>
      </c>
      <c r="D3928" s="1" t="str">
        <f>IFERROR(__xludf.DUMMYFUNCTION("""COMPUTED_VALUE"""),"old_page")</f>
        <v>old_page</v>
      </c>
      <c r="E3928" s="1">
        <f>IFERROR(__xludf.DUMMYFUNCTION("""COMPUTED_VALUE"""),0.0)</f>
        <v>0</v>
      </c>
    </row>
    <row r="3929">
      <c r="A3929" s="1">
        <f>IFERROR(__xludf.DUMMYFUNCTION("""COMPUTED_VALUE"""),820348.0)</f>
        <v>820348</v>
      </c>
      <c r="B3929" s="2">
        <f>IFERROR(__xludf.DUMMYFUNCTION("""COMPUTED_VALUE"""),42740.24913461139)</f>
        <v>42740.24913</v>
      </c>
      <c r="C3929" s="1" t="str">
        <f>IFERROR(__xludf.DUMMYFUNCTION("""COMPUTED_VALUE"""),"control")</f>
        <v>control</v>
      </c>
      <c r="D3929" s="1" t="str">
        <f>IFERROR(__xludf.DUMMYFUNCTION("""COMPUTED_VALUE"""),"old_page")</f>
        <v>old_page</v>
      </c>
      <c r="E3929" s="1">
        <f>IFERROR(__xludf.DUMMYFUNCTION("""COMPUTED_VALUE"""),0.0)</f>
        <v>0</v>
      </c>
    </row>
    <row r="3930">
      <c r="A3930" s="1">
        <f>IFERROR(__xludf.DUMMYFUNCTION("""COMPUTED_VALUE"""),793473.0)</f>
        <v>793473</v>
      </c>
      <c r="B3930" s="2">
        <f>IFERROR(__xludf.DUMMYFUNCTION("""COMPUTED_VALUE"""),42751.786001875545)</f>
        <v>42751.786</v>
      </c>
      <c r="C3930" s="1" t="str">
        <f>IFERROR(__xludf.DUMMYFUNCTION("""COMPUTED_VALUE"""),"control")</f>
        <v>control</v>
      </c>
      <c r="D3930" s="1" t="str">
        <f>IFERROR(__xludf.DUMMYFUNCTION("""COMPUTED_VALUE"""),"old_page")</f>
        <v>old_page</v>
      </c>
      <c r="E3930" s="1">
        <f>IFERROR(__xludf.DUMMYFUNCTION("""COMPUTED_VALUE"""),0.0)</f>
        <v>0</v>
      </c>
    </row>
    <row r="3931">
      <c r="A3931" s="1">
        <f>IFERROR(__xludf.DUMMYFUNCTION("""COMPUTED_VALUE"""),699527.0)</f>
        <v>699527</v>
      </c>
      <c r="B3931" s="2">
        <f>IFERROR(__xludf.DUMMYFUNCTION("""COMPUTED_VALUE"""),42746.92706132913)</f>
        <v>42746.92706</v>
      </c>
      <c r="C3931" s="1" t="str">
        <f>IFERROR(__xludf.DUMMYFUNCTION("""COMPUTED_VALUE"""),"control")</f>
        <v>control</v>
      </c>
      <c r="D3931" s="1" t="str">
        <f>IFERROR(__xludf.DUMMYFUNCTION("""COMPUTED_VALUE"""),"old_page")</f>
        <v>old_page</v>
      </c>
      <c r="E3931" s="1">
        <f>IFERROR(__xludf.DUMMYFUNCTION("""COMPUTED_VALUE"""),0.0)</f>
        <v>0</v>
      </c>
    </row>
    <row r="3932">
      <c r="A3932" s="1">
        <f>IFERROR(__xludf.DUMMYFUNCTION("""COMPUTED_VALUE"""),670227.0)</f>
        <v>670227</v>
      </c>
      <c r="B3932" s="2">
        <f>IFERROR(__xludf.DUMMYFUNCTION("""COMPUTED_VALUE"""),42749.39275663902)</f>
        <v>42749.39276</v>
      </c>
      <c r="C3932" s="1" t="str">
        <f>IFERROR(__xludf.DUMMYFUNCTION("""COMPUTED_VALUE"""),"control")</f>
        <v>control</v>
      </c>
      <c r="D3932" s="1" t="str">
        <f>IFERROR(__xludf.DUMMYFUNCTION("""COMPUTED_VALUE"""),"old_page")</f>
        <v>old_page</v>
      </c>
      <c r="E3932" s="1">
        <f>IFERROR(__xludf.DUMMYFUNCTION("""COMPUTED_VALUE"""),0.0)</f>
        <v>0</v>
      </c>
    </row>
    <row r="3933">
      <c r="A3933" s="1">
        <f>IFERROR(__xludf.DUMMYFUNCTION("""COMPUTED_VALUE"""),705396.0)</f>
        <v>705396</v>
      </c>
      <c r="B3933" s="2">
        <f>IFERROR(__xludf.DUMMYFUNCTION("""COMPUTED_VALUE"""),42750.936978056016)</f>
        <v>42750.93698</v>
      </c>
      <c r="C3933" s="1" t="str">
        <f>IFERROR(__xludf.DUMMYFUNCTION("""COMPUTED_VALUE"""),"control")</f>
        <v>control</v>
      </c>
      <c r="D3933" s="1" t="str">
        <f>IFERROR(__xludf.DUMMYFUNCTION("""COMPUTED_VALUE"""),"old_page")</f>
        <v>old_page</v>
      </c>
      <c r="E3933" s="1">
        <f>IFERROR(__xludf.DUMMYFUNCTION("""COMPUTED_VALUE"""),0.0)</f>
        <v>0</v>
      </c>
    </row>
    <row r="3934">
      <c r="A3934" s="1">
        <f>IFERROR(__xludf.DUMMYFUNCTION("""COMPUTED_VALUE"""),848680.0)</f>
        <v>848680</v>
      </c>
      <c r="B3934" s="2">
        <f>IFERROR(__xludf.DUMMYFUNCTION("""COMPUTED_VALUE"""),42746.494617822515)</f>
        <v>42746.49462</v>
      </c>
      <c r="C3934" s="1" t="str">
        <f>IFERROR(__xludf.DUMMYFUNCTION("""COMPUTED_VALUE"""),"treatment")</f>
        <v>treatment</v>
      </c>
      <c r="D3934" s="1" t="str">
        <f>IFERROR(__xludf.DUMMYFUNCTION("""COMPUTED_VALUE"""),"new_page")</f>
        <v>new_page</v>
      </c>
      <c r="E3934" s="1">
        <f>IFERROR(__xludf.DUMMYFUNCTION("""COMPUTED_VALUE"""),0.0)</f>
        <v>0</v>
      </c>
    </row>
    <row r="3935">
      <c r="A3935" s="1">
        <f>IFERROR(__xludf.DUMMYFUNCTION("""COMPUTED_VALUE"""),771202.0)</f>
        <v>771202</v>
      </c>
      <c r="B3935" s="2">
        <f>IFERROR(__xludf.DUMMYFUNCTION("""COMPUTED_VALUE"""),42739.5068839771)</f>
        <v>42739.50688</v>
      </c>
      <c r="C3935" s="1" t="str">
        <f>IFERROR(__xludf.DUMMYFUNCTION("""COMPUTED_VALUE"""),"treatment")</f>
        <v>treatment</v>
      </c>
      <c r="D3935" s="1" t="str">
        <f>IFERROR(__xludf.DUMMYFUNCTION("""COMPUTED_VALUE"""),"new_page")</f>
        <v>new_page</v>
      </c>
      <c r="E3935" s="1">
        <f>IFERROR(__xludf.DUMMYFUNCTION("""COMPUTED_VALUE"""),0.0)</f>
        <v>0</v>
      </c>
    </row>
    <row r="3936">
      <c r="A3936" s="1">
        <f>IFERROR(__xludf.DUMMYFUNCTION("""COMPUTED_VALUE"""),928848.0)</f>
        <v>928848</v>
      </c>
      <c r="B3936" s="2">
        <f>IFERROR(__xludf.DUMMYFUNCTION("""COMPUTED_VALUE"""),42743.421253754685)</f>
        <v>42743.42125</v>
      </c>
      <c r="C3936" s="1" t="str">
        <f>IFERROR(__xludf.DUMMYFUNCTION("""COMPUTED_VALUE"""),"treatment")</f>
        <v>treatment</v>
      </c>
      <c r="D3936" s="1" t="str">
        <f>IFERROR(__xludf.DUMMYFUNCTION("""COMPUTED_VALUE"""),"new_page")</f>
        <v>new_page</v>
      </c>
      <c r="E3936" s="1">
        <f>IFERROR(__xludf.DUMMYFUNCTION("""COMPUTED_VALUE"""),0.0)</f>
        <v>0</v>
      </c>
    </row>
    <row r="3937">
      <c r="A3937" s="1">
        <f>IFERROR(__xludf.DUMMYFUNCTION("""COMPUTED_VALUE"""),781184.0)</f>
        <v>781184</v>
      </c>
      <c r="B3937" s="2">
        <f>IFERROR(__xludf.DUMMYFUNCTION("""COMPUTED_VALUE"""),42744.496316728764)</f>
        <v>42744.49632</v>
      </c>
      <c r="C3937" s="1" t="str">
        <f>IFERROR(__xludf.DUMMYFUNCTION("""COMPUTED_VALUE"""),"control")</f>
        <v>control</v>
      </c>
      <c r="D3937" s="1" t="str">
        <f>IFERROR(__xludf.DUMMYFUNCTION("""COMPUTED_VALUE"""),"old_page")</f>
        <v>old_page</v>
      </c>
      <c r="E3937" s="1">
        <f>IFERROR(__xludf.DUMMYFUNCTION("""COMPUTED_VALUE"""),0.0)</f>
        <v>0</v>
      </c>
    </row>
    <row r="3938">
      <c r="A3938" s="1">
        <f>IFERROR(__xludf.DUMMYFUNCTION("""COMPUTED_VALUE"""),754138.0)</f>
        <v>754138</v>
      </c>
      <c r="B3938" s="2">
        <f>IFERROR(__xludf.DUMMYFUNCTION("""COMPUTED_VALUE"""),42758.64103506973)</f>
        <v>42758.64104</v>
      </c>
      <c r="C3938" s="1" t="str">
        <f>IFERROR(__xludf.DUMMYFUNCTION("""COMPUTED_VALUE"""),"control")</f>
        <v>control</v>
      </c>
      <c r="D3938" s="1" t="str">
        <f>IFERROR(__xludf.DUMMYFUNCTION("""COMPUTED_VALUE"""),"old_page")</f>
        <v>old_page</v>
      </c>
      <c r="E3938" s="1">
        <f>IFERROR(__xludf.DUMMYFUNCTION("""COMPUTED_VALUE"""),0.0)</f>
        <v>0</v>
      </c>
    </row>
    <row r="3939">
      <c r="A3939" s="1">
        <f>IFERROR(__xludf.DUMMYFUNCTION("""COMPUTED_VALUE"""),683338.0)</f>
        <v>683338</v>
      </c>
      <c r="B3939" s="2">
        <f>IFERROR(__xludf.DUMMYFUNCTION("""COMPUTED_VALUE"""),42754.60044621638)</f>
        <v>42754.60045</v>
      </c>
      <c r="C3939" s="1" t="str">
        <f>IFERROR(__xludf.DUMMYFUNCTION("""COMPUTED_VALUE"""),"treatment")</f>
        <v>treatment</v>
      </c>
      <c r="D3939" s="1" t="str">
        <f>IFERROR(__xludf.DUMMYFUNCTION("""COMPUTED_VALUE"""),"new_page")</f>
        <v>new_page</v>
      </c>
      <c r="E3939" s="1">
        <f>IFERROR(__xludf.DUMMYFUNCTION("""COMPUTED_VALUE"""),0.0)</f>
        <v>0</v>
      </c>
    </row>
    <row r="3940">
      <c r="A3940" s="1">
        <f>IFERROR(__xludf.DUMMYFUNCTION("""COMPUTED_VALUE"""),769697.0)</f>
        <v>769697</v>
      </c>
      <c r="B3940" s="2">
        <f>IFERROR(__xludf.DUMMYFUNCTION("""COMPUTED_VALUE"""),42755.25197300067)</f>
        <v>42755.25197</v>
      </c>
      <c r="C3940" s="1" t="str">
        <f>IFERROR(__xludf.DUMMYFUNCTION("""COMPUTED_VALUE"""),"control")</f>
        <v>control</v>
      </c>
      <c r="D3940" s="1" t="str">
        <f>IFERROR(__xludf.DUMMYFUNCTION("""COMPUTED_VALUE"""),"old_page")</f>
        <v>old_page</v>
      </c>
      <c r="E3940" s="1">
        <f>IFERROR(__xludf.DUMMYFUNCTION("""COMPUTED_VALUE"""),1.0)</f>
        <v>1</v>
      </c>
    </row>
    <row r="3941">
      <c r="A3941" s="1">
        <f>IFERROR(__xludf.DUMMYFUNCTION("""COMPUTED_VALUE"""),719717.0)</f>
        <v>719717</v>
      </c>
      <c r="B3941" s="2">
        <f>IFERROR(__xludf.DUMMYFUNCTION("""COMPUTED_VALUE"""),42745.99782668185)</f>
        <v>42745.99783</v>
      </c>
      <c r="C3941" s="1" t="str">
        <f>IFERROR(__xludf.DUMMYFUNCTION("""COMPUTED_VALUE"""),"control")</f>
        <v>control</v>
      </c>
      <c r="D3941" s="1" t="str">
        <f>IFERROR(__xludf.DUMMYFUNCTION("""COMPUTED_VALUE"""),"old_page")</f>
        <v>old_page</v>
      </c>
      <c r="E3941" s="1">
        <f>IFERROR(__xludf.DUMMYFUNCTION("""COMPUTED_VALUE"""),0.0)</f>
        <v>0</v>
      </c>
    </row>
    <row r="3942">
      <c r="A3942" s="1">
        <f>IFERROR(__xludf.DUMMYFUNCTION("""COMPUTED_VALUE"""),837635.0)</f>
        <v>837635</v>
      </c>
      <c r="B3942" s="2">
        <f>IFERROR(__xludf.DUMMYFUNCTION("""COMPUTED_VALUE"""),42756.572636726334)</f>
        <v>42756.57264</v>
      </c>
      <c r="C3942" s="1" t="str">
        <f>IFERROR(__xludf.DUMMYFUNCTION("""COMPUTED_VALUE"""),"control")</f>
        <v>control</v>
      </c>
      <c r="D3942" s="1" t="str">
        <f>IFERROR(__xludf.DUMMYFUNCTION("""COMPUTED_VALUE"""),"old_page")</f>
        <v>old_page</v>
      </c>
      <c r="E3942" s="1">
        <f>IFERROR(__xludf.DUMMYFUNCTION("""COMPUTED_VALUE"""),0.0)</f>
        <v>0</v>
      </c>
    </row>
    <row r="3943">
      <c r="A3943" s="1">
        <f>IFERROR(__xludf.DUMMYFUNCTION("""COMPUTED_VALUE"""),699730.0)</f>
        <v>699730</v>
      </c>
      <c r="B3943" s="2">
        <f>IFERROR(__xludf.DUMMYFUNCTION("""COMPUTED_VALUE"""),42752.84926773722)</f>
        <v>42752.84927</v>
      </c>
      <c r="C3943" s="1" t="str">
        <f>IFERROR(__xludf.DUMMYFUNCTION("""COMPUTED_VALUE"""),"treatment")</f>
        <v>treatment</v>
      </c>
      <c r="D3943" s="1" t="str">
        <f>IFERROR(__xludf.DUMMYFUNCTION("""COMPUTED_VALUE"""),"new_page")</f>
        <v>new_page</v>
      </c>
      <c r="E3943" s="1">
        <f>IFERROR(__xludf.DUMMYFUNCTION("""COMPUTED_VALUE"""),0.0)</f>
        <v>0</v>
      </c>
    </row>
    <row r="3944">
      <c r="A3944" s="1">
        <f>IFERROR(__xludf.DUMMYFUNCTION("""COMPUTED_VALUE"""),693733.0)</f>
        <v>693733</v>
      </c>
      <c r="B3944" s="2">
        <f>IFERROR(__xludf.DUMMYFUNCTION("""COMPUTED_VALUE"""),42748.68710697905)</f>
        <v>42748.68711</v>
      </c>
      <c r="C3944" s="1" t="str">
        <f>IFERROR(__xludf.DUMMYFUNCTION("""COMPUTED_VALUE"""),"control")</f>
        <v>control</v>
      </c>
      <c r="D3944" s="1" t="str">
        <f>IFERROR(__xludf.DUMMYFUNCTION("""COMPUTED_VALUE"""),"old_page")</f>
        <v>old_page</v>
      </c>
      <c r="E3944" s="1">
        <f>IFERROR(__xludf.DUMMYFUNCTION("""COMPUTED_VALUE"""),0.0)</f>
        <v>0</v>
      </c>
    </row>
    <row r="3945">
      <c r="A3945" s="1">
        <f>IFERROR(__xludf.DUMMYFUNCTION("""COMPUTED_VALUE"""),937421.0)</f>
        <v>937421</v>
      </c>
      <c r="B3945" s="2">
        <f>IFERROR(__xludf.DUMMYFUNCTION("""COMPUTED_VALUE"""),42748.1839176539)</f>
        <v>42748.18392</v>
      </c>
      <c r="C3945" s="1" t="str">
        <f>IFERROR(__xludf.DUMMYFUNCTION("""COMPUTED_VALUE"""),"control")</f>
        <v>control</v>
      </c>
      <c r="D3945" s="1" t="str">
        <f>IFERROR(__xludf.DUMMYFUNCTION("""COMPUTED_VALUE"""),"old_page")</f>
        <v>old_page</v>
      </c>
      <c r="E3945" s="1">
        <f>IFERROR(__xludf.DUMMYFUNCTION("""COMPUTED_VALUE"""),0.0)</f>
        <v>0</v>
      </c>
    </row>
    <row r="3946">
      <c r="A3946" s="1">
        <f>IFERROR(__xludf.DUMMYFUNCTION("""COMPUTED_VALUE"""),770564.0)</f>
        <v>770564</v>
      </c>
      <c r="B3946" s="2">
        <f>IFERROR(__xludf.DUMMYFUNCTION("""COMPUTED_VALUE"""),42745.94675200845)</f>
        <v>42745.94675</v>
      </c>
      <c r="C3946" s="1" t="str">
        <f>IFERROR(__xludf.DUMMYFUNCTION("""COMPUTED_VALUE"""),"control")</f>
        <v>control</v>
      </c>
      <c r="D3946" s="1" t="str">
        <f>IFERROR(__xludf.DUMMYFUNCTION("""COMPUTED_VALUE"""),"old_page")</f>
        <v>old_page</v>
      </c>
      <c r="E3946" s="1">
        <f>IFERROR(__xludf.DUMMYFUNCTION("""COMPUTED_VALUE"""),0.0)</f>
        <v>0</v>
      </c>
    </row>
    <row r="3947">
      <c r="A3947" s="1">
        <f>IFERROR(__xludf.DUMMYFUNCTION("""COMPUTED_VALUE"""),791103.0)</f>
        <v>791103</v>
      </c>
      <c r="B3947" s="2">
        <f>IFERROR(__xludf.DUMMYFUNCTION("""COMPUTED_VALUE"""),42754.97933834167)</f>
        <v>42754.97934</v>
      </c>
      <c r="C3947" s="1" t="str">
        <f>IFERROR(__xludf.DUMMYFUNCTION("""COMPUTED_VALUE"""),"control")</f>
        <v>control</v>
      </c>
      <c r="D3947" s="1" t="str">
        <f>IFERROR(__xludf.DUMMYFUNCTION("""COMPUTED_VALUE"""),"old_page")</f>
        <v>old_page</v>
      </c>
      <c r="E3947" s="1">
        <f>IFERROR(__xludf.DUMMYFUNCTION("""COMPUTED_VALUE"""),1.0)</f>
        <v>1</v>
      </c>
    </row>
    <row r="3948">
      <c r="A3948" s="1">
        <f>IFERROR(__xludf.DUMMYFUNCTION("""COMPUTED_VALUE"""),783498.0)</f>
        <v>783498</v>
      </c>
      <c r="B3948" s="2">
        <f>IFERROR(__xludf.DUMMYFUNCTION("""COMPUTED_VALUE"""),42750.92204413611)</f>
        <v>42750.92204</v>
      </c>
      <c r="C3948" s="1" t="str">
        <f>IFERROR(__xludf.DUMMYFUNCTION("""COMPUTED_VALUE"""),"control")</f>
        <v>control</v>
      </c>
      <c r="D3948" s="1" t="str">
        <f>IFERROR(__xludf.DUMMYFUNCTION("""COMPUTED_VALUE"""),"old_page")</f>
        <v>old_page</v>
      </c>
      <c r="E3948" s="1">
        <f>IFERROR(__xludf.DUMMYFUNCTION("""COMPUTED_VALUE"""),0.0)</f>
        <v>0</v>
      </c>
    </row>
    <row r="3949">
      <c r="A3949" s="1">
        <f>IFERROR(__xludf.DUMMYFUNCTION("""COMPUTED_VALUE"""),868286.0)</f>
        <v>868286</v>
      </c>
      <c r="B3949" s="2">
        <f>IFERROR(__xludf.DUMMYFUNCTION("""COMPUTED_VALUE"""),42757.99810082464)</f>
        <v>42757.9981</v>
      </c>
      <c r="C3949" s="1" t="str">
        <f>IFERROR(__xludf.DUMMYFUNCTION("""COMPUTED_VALUE"""),"control")</f>
        <v>control</v>
      </c>
      <c r="D3949" s="1" t="str">
        <f>IFERROR(__xludf.DUMMYFUNCTION("""COMPUTED_VALUE"""),"old_page")</f>
        <v>old_page</v>
      </c>
      <c r="E3949" s="1">
        <f>IFERROR(__xludf.DUMMYFUNCTION("""COMPUTED_VALUE"""),0.0)</f>
        <v>0</v>
      </c>
    </row>
    <row r="3950">
      <c r="A3950" s="1">
        <f>IFERROR(__xludf.DUMMYFUNCTION("""COMPUTED_VALUE"""),904994.0)</f>
        <v>904994</v>
      </c>
      <c r="B3950" s="2">
        <f>IFERROR(__xludf.DUMMYFUNCTION("""COMPUTED_VALUE"""),42757.06532335433)</f>
        <v>42757.06532</v>
      </c>
      <c r="C3950" s="1" t="str">
        <f>IFERROR(__xludf.DUMMYFUNCTION("""COMPUTED_VALUE"""),"control")</f>
        <v>control</v>
      </c>
      <c r="D3950" s="1" t="str">
        <f>IFERROR(__xludf.DUMMYFUNCTION("""COMPUTED_VALUE"""),"old_page")</f>
        <v>old_page</v>
      </c>
      <c r="E3950" s="1">
        <f>IFERROR(__xludf.DUMMYFUNCTION("""COMPUTED_VALUE"""),1.0)</f>
        <v>1</v>
      </c>
    </row>
    <row r="3951">
      <c r="A3951" s="1">
        <f>IFERROR(__xludf.DUMMYFUNCTION("""COMPUTED_VALUE"""),925088.0)</f>
        <v>925088</v>
      </c>
      <c r="B3951" s="2">
        <f>IFERROR(__xludf.DUMMYFUNCTION("""COMPUTED_VALUE"""),42757.242025647305)</f>
        <v>42757.24203</v>
      </c>
      <c r="C3951" s="1" t="str">
        <f>IFERROR(__xludf.DUMMYFUNCTION("""COMPUTED_VALUE"""),"control")</f>
        <v>control</v>
      </c>
      <c r="D3951" s="1" t="str">
        <f>IFERROR(__xludf.DUMMYFUNCTION("""COMPUTED_VALUE"""),"old_page")</f>
        <v>old_page</v>
      </c>
      <c r="E3951" s="1">
        <f>IFERROR(__xludf.DUMMYFUNCTION("""COMPUTED_VALUE"""),0.0)</f>
        <v>0</v>
      </c>
    </row>
    <row r="3952">
      <c r="A3952" s="1">
        <f>IFERROR(__xludf.DUMMYFUNCTION("""COMPUTED_VALUE"""),805340.0)</f>
        <v>805340</v>
      </c>
      <c r="B3952" s="2">
        <f>IFERROR(__xludf.DUMMYFUNCTION("""COMPUTED_VALUE"""),42757.02259900181)</f>
        <v>42757.0226</v>
      </c>
      <c r="C3952" s="1" t="str">
        <f>IFERROR(__xludf.DUMMYFUNCTION("""COMPUTED_VALUE"""),"control")</f>
        <v>control</v>
      </c>
      <c r="D3952" s="1" t="str">
        <f>IFERROR(__xludf.DUMMYFUNCTION("""COMPUTED_VALUE"""),"old_page")</f>
        <v>old_page</v>
      </c>
      <c r="E3952" s="1">
        <f>IFERROR(__xludf.DUMMYFUNCTION("""COMPUTED_VALUE"""),0.0)</f>
        <v>0</v>
      </c>
    </row>
    <row r="3953">
      <c r="A3953" s="1">
        <f>IFERROR(__xludf.DUMMYFUNCTION("""COMPUTED_VALUE"""),735808.0)</f>
        <v>735808</v>
      </c>
      <c r="B3953" s="2">
        <f>IFERROR(__xludf.DUMMYFUNCTION("""COMPUTED_VALUE"""),42746.26521031679)</f>
        <v>42746.26521</v>
      </c>
      <c r="C3953" s="1" t="str">
        <f>IFERROR(__xludf.DUMMYFUNCTION("""COMPUTED_VALUE"""),"treatment")</f>
        <v>treatment</v>
      </c>
      <c r="D3953" s="1" t="str">
        <f>IFERROR(__xludf.DUMMYFUNCTION("""COMPUTED_VALUE"""),"new_page")</f>
        <v>new_page</v>
      </c>
      <c r="E3953" s="1">
        <f>IFERROR(__xludf.DUMMYFUNCTION("""COMPUTED_VALUE"""),0.0)</f>
        <v>0</v>
      </c>
    </row>
    <row r="3954">
      <c r="A3954" s="1">
        <f>IFERROR(__xludf.DUMMYFUNCTION("""COMPUTED_VALUE"""),670417.0)</f>
        <v>670417</v>
      </c>
      <c r="B3954" s="2">
        <f>IFERROR(__xludf.DUMMYFUNCTION("""COMPUTED_VALUE"""),42740.41128343067)</f>
        <v>42740.41128</v>
      </c>
      <c r="C3954" s="1" t="str">
        <f>IFERROR(__xludf.DUMMYFUNCTION("""COMPUTED_VALUE"""),"control")</f>
        <v>control</v>
      </c>
      <c r="D3954" s="1" t="str">
        <f>IFERROR(__xludf.DUMMYFUNCTION("""COMPUTED_VALUE"""),"old_page")</f>
        <v>old_page</v>
      </c>
      <c r="E3954" s="1">
        <f>IFERROR(__xludf.DUMMYFUNCTION("""COMPUTED_VALUE"""),1.0)</f>
        <v>1</v>
      </c>
    </row>
    <row r="3955">
      <c r="A3955" s="1">
        <f>IFERROR(__xludf.DUMMYFUNCTION("""COMPUTED_VALUE"""),634892.0)</f>
        <v>634892</v>
      </c>
      <c r="B3955" s="2">
        <f>IFERROR(__xludf.DUMMYFUNCTION("""COMPUTED_VALUE"""),42757.81269688051)</f>
        <v>42757.8127</v>
      </c>
      <c r="C3955" s="1" t="str">
        <f>IFERROR(__xludf.DUMMYFUNCTION("""COMPUTED_VALUE"""),"control")</f>
        <v>control</v>
      </c>
      <c r="D3955" s="1" t="str">
        <f>IFERROR(__xludf.DUMMYFUNCTION("""COMPUTED_VALUE"""),"old_page")</f>
        <v>old_page</v>
      </c>
      <c r="E3955" s="1">
        <f>IFERROR(__xludf.DUMMYFUNCTION("""COMPUTED_VALUE"""),0.0)</f>
        <v>0</v>
      </c>
    </row>
    <row r="3956">
      <c r="A3956" s="1">
        <f>IFERROR(__xludf.DUMMYFUNCTION("""COMPUTED_VALUE"""),667063.0)</f>
        <v>667063</v>
      </c>
      <c r="B3956" s="2">
        <f>IFERROR(__xludf.DUMMYFUNCTION("""COMPUTED_VALUE"""),42756.48011479711)</f>
        <v>42756.48011</v>
      </c>
      <c r="C3956" s="1" t="str">
        <f>IFERROR(__xludf.DUMMYFUNCTION("""COMPUTED_VALUE"""),"treatment")</f>
        <v>treatment</v>
      </c>
      <c r="D3956" s="1" t="str">
        <f>IFERROR(__xludf.DUMMYFUNCTION("""COMPUTED_VALUE"""),"new_page")</f>
        <v>new_page</v>
      </c>
      <c r="E3956" s="1">
        <f>IFERROR(__xludf.DUMMYFUNCTION("""COMPUTED_VALUE"""),0.0)</f>
        <v>0</v>
      </c>
    </row>
    <row r="3957">
      <c r="A3957" s="1">
        <f>IFERROR(__xludf.DUMMYFUNCTION("""COMPUTED_VALUE"""),881623.0)</f>
        <v>881623</v>
      </c>
      <c r="B3957" s="2">
        <f>IFERROR(__xludf.DUMMYFUNCTION("""COMPUTED_VALUE"""),42742.28050239511)</f>
        <v>42742.2805</v>
      </c>
      <c r="C3957" s="1" t="str">
        <f>IFERROR(__xludf.DUMMYFUNCTION("""COMPUTED_VALUE"""),"treatment")</f>
        <v>treatment</v>
      </c>
      <c r="D3957" s="1" t="str">
        <f>IFERROR(__xludf.DUMMYFUNCTION("""COMPUTED_VALUE"""),"new_page")</f>
        <v>new_page</v>
      </c>
      <c r="E3957" s="1">
        <f>IFERROR(__xludf.DUMMYFUNCTION("""COMPUTED_VALUE"""),0.0)</f>
        <v>0</v>
      </c>
    </row>
    <row r="3958">
      <c r="A3958" s="1">
        <f>IFERROR(__xludf.DUMMYFUNCTION("""COMPUTED_VALUE"""),634554.0)</f>
        <v>634554</v>
      </c>
      <c r="B3958" s="2">
        <f>IFERROR(__xludf.DUMMYFUNCTION("""COMPUTED_VALUE"""),42743.727333442635)</f>
        <v>42743.72733</v>
      </c>
      <c r="C3958" s="1" t="str">
        <f>IFERROR(__xludf.DUMMYFUNCTION("""COMPUTED_VALUE"""),"treatment")</f>
        <v>treatment</v>
      </c>
      <c r="D3958" s="1" t="str">
        <f>IFERROR(__xludf.DUMMYFUNCTION("""COMPUTED_VALUE"""),"new_page")</f>
        <v>new_page</v>
      </c>
      <c r="E3958" s="1">
        <f>IFERROR(__xludf.DUMMYFUNCTION("""COMPUTED_VALUE"""),0.0)</f>
        <v>0</v>
      </c>
    </row>
    <row r="3959">
      <c r="A3959" s="1">
        <f>IFERROR(__xludf.DUMMYFUNCTION("""COMPUTED_VALUE"""),740302.0)</f>
        <v>740302</v>
      </c>
      <c r="B3959" s="2">
        <f>IFERROR(__xludf.DUMMYFUNCTION("""COMPUTED_VALUE"""),42758.4878998406)</f>
        <v>42758.4879</v>
      </c>
      <c r="C3959" s="1" t="str">
        <f>IFERROR(__xludf.DUMMYFUNCTION("""COMPUTED_VALUE"""),"control")</f>
        <v>control</v>
      </c>
      <c r="D3959" s="1" t="str">
        <f>IFERROR(__xludf.DUMMYFUNCTION("""COMPUTED_VALUE"""),"old_page")</f>
        <v>old_page</v>
      </c>
      <c r="E3959" s="1">
        <f>IFERROR(__xludf.DUMMYFUNCTION("""COMPUTED_VALUE"""),0.0)</f>
        <v>0</v>
      </c>
    </row>
    <row r="3960">
      <c r="A3960" s="1">
        <f>IFERROR(__xludf.DUMMYFUNCTION("""COMPUTED_VALUE"""),643753.0)</f>
        <v>643753</v>
      </c>
      <c r="B3960" s="2">
        <f>IFERROR(__xludf.DUMMYFUNCTION("""COMPUTED_VALUE"""),42757.19210048812)</f>
        <v>42757.1921</v>
      </c>
      <c r="C3960" s="1" t="str">
        <f>IFERROR(__xludf.DUMMYFUNCTION("""COMPUTED_VALUE"""),"control")</f>
        <v>control</v>
      </c>
      <c r="D3960" s="1" t="str">
        <f>IFERROR(__xludf.DUMMYFUNCTION("""COMPUTED_VALUE"""),"old_page")</f>
        <v>old_page</v>
      </c>
      <c r="E3960" s="1">
        <f>IFERROR(__xludf.DUMMYFUNCTION("""COMPUTED_VALUE"""),0.0)</f>
        <v>0</v>
      </c>
    </row>
    <row r="3961">
      <c r="A3961" s="1">
        <f>IFERROR(__xludf.DUMMYFUNCTION("""COMPUTED_VALUE"""),642690.0)</f>
        <v>642690</v>
      </c>
      <c r="B3961" s="2">
        <f>IFERROR(__xludf.DUMMYFUNCTION("""COMPUTED_VALUE"""),42756.62760470008)</f>
        <v>42756.6276</v>
      </c>
      <c r="C3961" s="1" t="str">
        <f>IFERROR(__xludf.DUMMYFUNCTION("""COMPUTED_VALUE"""),"treatment")</f>
        <v>treatment</v>
      </c>
      <c r="D3961" s="1" t="str">
        <f>IFERROR(__xludf.DUMMYFUNCTION("""COMPUTED_VALUE"""),"new_page")</f>
        <v>new_page</v>
      </c>
      <c r="E3961" s="1">
        <f>IFERROR(__xludf.DUMMYFUNCTION("""COMPUTED_VALUE"""),0.0)</f>
        <v>0</v>
      </c>
    </row>
    <row r="3962">
      <c r="A3962" s="1">
        <f>IFERROR(__xludf.DUMMYFUNCTION("""COMPUTED_VALUE"""),933316.0)</f>
        <v>933316</v>
      </c>
      <c r="B3962" s="2">
        <f>IFERROR(__xludf.DUMMYFUNCTION("""COMPUTED_VALUE"""),42743.449883584086)</f>
        <v>42743.44988</v>
      </c>
      <c r="C3962" s="1" t="str">
        <f>IFERROR(__xludf.DUMMYFUNCTION("""COMPUTED_VALUE"""),"treatment")</f>
        <v>treatment</v>
      </c>
      <c r="D3962" s="1" t="str">
        <f>IFERROR(__xludf.DUMMYFUNCTION("""COMPUTED_VALUE"""),"new_page")</f>
        <v>new_page</v>
      </c>
      <c r="E3962" s="1">
        <f>IFERROR(__xludf.DUMMYFUNCTION("""COMPUTED_VALUE"""),0.0)</f>
        <v>0</v>
      </c>
    </row>
    <row r="3963">
      <c r="A3963" s="1">
        <f>IFERROR(__xludf.DUMMYFUNCTION("""COMPUTED_VALUE"""),810927.0)</f>
        <v>810927</v>
      </c>
      <c r="B3963" s="2">
        <f>IFERROR(__xludf.DUMMYFUNCTION("""COMPUTED_VALUE"""),42741.87889846706)</f>
        <v>42741.8789</v>
      </c>
      <c r="C3963" s="1" t="str">
        <f>IFERROR(__xludf.DUMMYFUNCTION("""COMPUTED_VALUE"""),"treatment")</f>
        <v>treatment</v>
      </c>
      <c r="D3963" s="1" t="str">
        <f>IFERROR(__xludf.DUMMYFUNCTION("""COMPUTED_VALUE"""),"new_page")</f>
        <v>new_page</v>
      </c>
      <c r="E3963" s="1">
        <f>IFERROR(__xludf.DUMMYFUNCTION("""COMPUTED_VALUE"""),0.0)</f>
        <v>0</v>
      </c>
    </row>
    <row r="3964">
      <c r="A3964" s="1">
        <f>IFERROR(__xludf.DUMMYFUNCTION("""COMPUTED_VALUE"""),701172.0)</f>
        <v>701172</v>
      </c>
      <c r="B3964" s="2">
        <f>IFERROR(__xludf.DUMMYFUNCTION("""COMPUTED_VALUE"""),42741.458598093515)</f>
        <v>42741.4586</v>
      </c>
      <c r="C3964" s="1" t="str">
        <f>IFERROR(__xludf.DUMMYFUNCTION("""COMPUTED_VALUE"""),"treatment")</f>
        <v>treatment</v>
      </c>
      <c r="D3964" s="1" t="str">
        <f>IFERROR(__xludf.DUMMYFUNCTION("""COMPUTED_VALUE"""),"new_page")</f>
        <v>new_page</v>
      </c>
      <c r="E3964" s="1">
        <f>IFERROR(__xludf.DUMMYFUNCTION("""COMPUTED_VALUE"""),0.0)</f>
        <v>0</v>
      </c>
    </row>
    <row r="3965">
      <c r="A3965" s="1">
        <f>IFERROR(__xludf.DUMMYFUNCTION("""COMPUTED_VALUE"""),689877.0)</f>
        <v>689877</v>
      </c>
      <c r="B3965" s="2">
        <f>IFERROR(__xludf.DUMMYFUNCTION("""COMPUTED_VALUE"""),42746.21604948596)</f>
        <v>42746.21605</v>
      </c>
      <c r="C3965" s="1" t="str">
        <f>IFERROR(__xludf.DUMMYFUNCTION("""COMPUTED_VALUE"""),"treatment")</f>
        <v>treatment</v>
      </c>
      <c r="D3965" s="1" t="str">
        <f>IFERROR(__xludf.DUMMYFUNCTION("""COMPUTED_VALUE"""),"new_page")</f>
        <v>new_page</v>
      </c>
      <c r="E3965" s="1">
        <f>IFERROR(__xludf.DUMMYFUNCTION("""COMPUTED_VALUE"""),1.0)</f>
        <v>1</v>
      </c>
    </row>
    <row r="3966">
      <c r="A3966" s="1">
        <f>IFERROR(__xludf.DUMMYFUNCTION("""COMPUTED_VALUE"""),815099.0)</f>
        <v>815099</v>
      </c>
      <c r="B3966" s="2">
        <f>IFERROR(__xludf.DUMMYFUNCTION("""COMPUTED_VALUE"""),42738.38550957701)</f>
        <v>42738.38551</v>
      </c>
      <c r="C3966" s="1" t="str">
        <f>IFERROR(__xludf.DUMMYFUNCTION("""COMPUTED_VALUE"""),"control")</f>
        <v>control</v>
      </c>
      <c r="D3966" s="1" t="str">
        <f>IFERROR(__xludf.DUMMYFUNCTION("""COMPUTED_VALUE"""),"old_page")</f>
        <v>old_page</v>
      </c>
      <c r="E3966" s="1">
        <f>IFERROR(__xludf.DUMMYFUNCTION("""COMPUTED_VALUE"""),1.0)</f>
        <v>1</v>
      </c>
    </row>
    <row r="3967">
      <c r="A3967" s="1">
        <f>IFERROR(__xludf.DUMMYFUNCTION("""COMPUTED_VALUE"""),857656.0)</f>
        <v>857656</v>
      </c>
      <c r="B3967" s="2">
        <f>IFERROR(__xludf.DUMMYFUNCTION("""COMPUTED_VALUE"""),42757.970211629894)</f>
        <v>42757.97021</v>
      </c>
      <c r="C3967" s="1" t="str">
        <f>IFERROR(__xludf.DUMMYFUNCTION("""COMPUTED_VALUE"""),"treatment")</f>
        <v>treatment</v>
      </c>
      <c r="D3967" s="1" t="str">
        <f>IFERROR(__xludf.DUMMYFUNCTION("""COMPUTED_VALUE"""),"new_page")</f>
        <v>new_page</v>
      </c>
      <c r="E3967" s="1">
        <f>IFERROR(__xludf.DUMMYFUNCTION("""COMPUTED_VALUE"""),0.0)</f>
        <v>0</v>
      </c>
    </row>
    <row r="3968">
      <c r="A3968" s="1">
        <f>IFERROR(__xludf.DUMMYFUNCTION("""COMPUTED_VALUE"""),747393.0)</f>
        <v>747393</v>
      </c>
      <c r="B3968" s="2">
        <f>IFERROR(__xludf.DUMMYFUNCTION("""COMPUTED_VALUE"""),42753.464553198806)</f>
        <v>42753.46455</v>
      </c>
      <c r="C3968" s="1" t="str">
        <f>IFERROR(__xludf.DUMMYFUNCTION("""COMPUTED_VALUE"""),"treatment")</f>
        <v>treatment</v>
      </c>
      <c r="D3968" s="1" t="str">
        <f>IFERROR(__xludf.DUMMYFUNCTION("""COMPUTED_VALUE"""),"new_page")</f>
        <v>new_page</v>
      </c>
      <c r="E3968" s="1">
        <f>IFERROR(__xludf.DUMMYFUNCTION("""COMPUTED_VALUE"""),0.0)</f>
        <v>0</v>
      </c>
    </row>
    <row r="3969">
      <c r="A3969" s="1">
        <f>IFERROR(__xludf.DUMMYFUNCTION("""COMPUTED_VALUE"""),762480.0)</f>
        <v>762480</v>
      </c>
      <c r="B3969" s="2">
        <f>IFERROR(__xludf.DUMMYFUNCTION("""COMPUTED_VALUE"""),42752.748456118185)</f>
        <v>42752.74846</v>
      </c>
      <c r="C3969" s="1" t="str">
        <f>IFERROR(__xludf.DUMMYFUNCTION("""COMPUTED_VALUE"""),"control")</f>
        <v>control</v>
      </c>
      <c r="D3969" s="1" t="str">
        <f>IFERROR(__xludf.DUMMYFUNCTION("""COMPUTED_VALUE"""),"old_page")</f>
        <v>old_page</v>
      </c>
      <c r="E3969" s="1">
        <f>IFERROR(__xludf.DUMMYFUNCTION("""COMPUTED_VALUE"""),0.0)</f>
        <v>0</v>
      </c>
    </row>
    <row r="3970">
      <c r="A3970" s="1">
        <f>IFERROR(__xludf.DUMMYFUNCTION("""COMPUTED_VALUE"""),849386.0)</f>
        <v>849386</v>
      </c>
      <c r="B3970" s="2">
        <f>IFERROR(__xludf.DUMMYFUNCTION("""COMPUTED_VALUE"""),42741.5307997617)</f>
        <v>42741.5308</v>
      </c>
      <c r="C3970" s="1" t="str">
        <f>IFERROR(__xludf.DUMMYFUNCTION("""COMPUTED_VALUE"""),"control")</f>
        <v>control</v>
      </c>
      <c r="D3970" s="1" t="str">
        <f>IFERROR(__xludf.DUMMYFUNCTION("""COMPUTED_VALUE"""),"old_page")</f>
        <v>old_page</v>
      </c>
      <c r="E3970" s="1">
        <f>IFERROR(__xludf.DUMMYFUNCTION("""COMPUTED_VALUE"""),0.0)</f>
        <v>0</v>
      </c>
    </row>
    <row r="3971">
      <c r="A3971" s="1">
        <f>IFERROR(__xludf.DUMMYFUNCTION("""COMPUTED_VALUE"""),642846.0)</f>
        <v>642846</v>
      </c>
      <c r="B3971" s="2">
        <f>IFERROR(__xludf.DUMMYFUNCTION("""COMPUTED_VALUE"""),42748.56274865175)</f>
        <v>42748.56275</v>
      </c>
      <c r="C3971" s="1" t="str">
        <f>IFERROR(__xludf.DUMMYFUNCTION("""COMPUTED_VALUE"""),"treatment")</f>
        <v>treatment</v>
      </c>
      <c r="D3971" s="1" t="str">
        <f>IFERROR(__xludf.DUMMYFUNCTION("""COMPUTED_VALUE"""),"new_page")</f>
        <v>new_page</v>
      </c>
      <c r="E3971" s="1">
        <f>IFERROR(__xludf.DUMMYFUNCTION("""COMPUTED_VALUE"""),0.0)</f>
        <v>0</v>
      </c>
    </row>
    <row r="3972">
      <c r="A3972" s="1">
        <f>IFERROR(__xludf.DUMMYFUNCTION("""COMPUTED_VALUE"""),761254.0)</f>
        <v>761254</v>
      </c>
      <c r="B3972" s="2">
        <f>IFERROR(__xludf.DUMMYFUNCTION("""COMPUTED_VALUE"""),42741.136451771934)</f>
        <v>42741.13645</v>
      </c>
      <c r="C3972" s="1" t="str">
        <f>IFERROR(__xludf.DUMMYFUNCTION("""COMPUTED_VALUE"""),"treatment")</f>
        <v>treatment</v>
      </c>
      <c r="D3972" s="1" t="str">
        <f>IFERROR(__xludf.DUMMYFUNCTION("""COMPUTED_VALUE"""),"new_page")</f>
        <v>new_page</v>
      </c>
      <c r="E3972" s="1">
        <f>IFERROR(__xludf.DUMMYFUNCTION("""COMPUTED_VALUE"""),0.0)</f>
        <v>0</v>
      </c>
    </row>
    <row r="3973">
      <c r="A3973" s="1">
        <f>IFERROR(__xludf.DUMMYFUNCTION("""COMPUTED_VALUE"""),842886.0)</f>
        <v>842886</v>
      </c>
      <c r="B3973" s="2">
        <f>IFERROR(__xludf.DUMMYFUNCTION("""COMPUTED_VALUE"""),42757.4907036653)</f>
        <v>42757.4907</v>
      </c>
      <c r="C3973" s="1" t="str">
        <f>IFERROR(__xludf.DUMMYFUNCTION("""COMPUTED_VALUE"""),"control")</f>
        <v>control</v>
      </c>
      <c r="D3973" s="1" t="str">
        <f>IFERROR(__xludf.DUMMYFUNCTION("""COMPUTED_VALUE"""),"old_page")</f>
        <v>old_page</v>
      </c>
      <c r="E3973" s="1">
        <f>IFERROR(__xludf.DUMMYFUNCTION("""COMPUTED_VALUE"""),0.0)</f>
        <v>0</v>
      </c>
    </row>
    <row r="3974">
      <c r="A3974" s="1">
        <f>IFERROR(__xludf.DUMMYFUNCTION("""COMPUTED_VALUE"""),639523.0)</f>
        <v>639523</v>
      </c>
      <c r="B3974" s="2">
        <f>IFERROR(__xludf.DUMMYFUNCTION("""COMPUTED_VALUE"""),42757.57517604602)</f>
        <v>42757.57518</v>
      </c>
      <c r="C3974" s="1" t="str">
        <f>IFERROR(__xludf.DUMMYFUNCTION("""COMPUTED_VALUE"""),"control")</f>
        <v>control</v>
      </c>
      <c r="D3974" s="1" t="str">
        <f>IFERROR(__xludf.DUMMYFUNCTION("""COMPUTED_VALUE"""),"old_page")</f>
        <v>old_page</v>
      </c>
      <c r="E3974" s="1">
        <f>IFERROR(__xludf.DUMMYFUNCTION("""COMPUTED_VALUE"""),0.0)</f>
        <v>0</v>
      </c>
    </row>
    <row r="3975">
      <c r="A3975" s="1">
        <f>IFERROR(__xludf.DUMMYFUNCTION("""COMPUTED_VALUE"""),941271.0)</f>
        <v>941271</v>
      </c>
      <c r="B3975" s="2">
        <f>IFERROR(__xludf.DUMMYFUNCTION("""COMPUTED_VALUE"""),42749.13288482556)</f>
        <v>42749.13288</v>
      </c>
      <c r="C3975" s="1" t="str">
        <f>IFERROR(__xludf.DUMMYFUNCTION("""COMPUTED_VALUE"""),"treatment")</f>
        <v>treatment</v>
      </c>
      <c r="D3975" s="1" t="str">
        <f>IFERROR(__xludf.DUMMYFUNCTION("""COMPUTED_VALUE"""),"new_page")</f>
        <v>new_page</v>
      </c>
      <c r="E3975" s="1">
        <f>IFERROR(__xludf.DUMMYFUNCTION("""COMPUTED_VALUE"""),0.0)</f>
        <v>0</v>
      </c>
    </row>
    <row r="3976">
      <c r="A3976" s="1">
        <f>IFERROR(__xludf.DUMMYFUNCTION("""COMPUTED_VALUE"""),694748.0)</f>
        <v>694748</v>
      </c>
      <c r="B3976" s="2">
        <f>IFERROR(__xludf.DUMMYFUNCTION("""COMPUTED_VALUE"""),42750.72580590651)</f>
        <v>42750.72581</v>
      </c>
      <c r="C3976" s="1" t="str">
        <f>IFERROR(__xludf.DUMMYFUNCTION("""COMPUTED_VALUE"""),"treatment")</f>
        <v>treatment</v>
      </c>
      <c r="D3976" s="1" t="str">
        <f>IFERROR(__xludf.DUMMYFUNCTION("""COMPUTED_VALUE"""),"new_page")</f>
        <v>new_page</v>
      </c>
      <c r="E3976" s="1">
        <f>IFERROR(__xludf.DUMMYFUNCTION("""COMPUTED_VALUE"""),0.0)</f>
        <v>0</v>
      </c>
    </row>
    <row r="3977">
      <c r="A3977" s="1">
        <f>IFERROR(__xludf.DUMMYFUNCTION("""COMPUTED_VALUE"""),646666.0)</f>
        <v>646666</v>
      </c>
      <c r="B3977" s="2">
        <f>IFERROR(__xludf.DUMMYFUNCTION("""COMPUTED_VALUE"""),42741.336823673955)</f>
        <v>42741.33682</v>
      </c>
      <c r="C3977" s="1" t="str">
        <f>IFERROR(__xludf.DUMMYFUNCTION("""COMPUTED_VALUE"""),"control")</f>
        <v>control</v>
      </c>
      <c r="D3977" s="1" t="str">
        <f>IFERROR(__xludf.DUMMYFUNCTION("""COMPUTED_VALUE"""),"old_page")</f>
        <v>old_page</v>
      </c>
      <c r="E3977" s="1">
        <f>IFERROR(__xludf.DUMMYFUNCTION("""COMPUTED_VALUE"""),0.0)</f>
        <v>0</v>
      </c>
    </row>
    <row r="3978">
      <c r="A3978" s="1">
        <f>IFERROR(__xludf.DUMMYFUNCTION("""COMPUTED_VALUE"""),896543.0)</f>
        <v>896543</v>
      </c>
      <c r="B3978" s="2">
        <f>IFERROR(__xludf.DUMMYFUNCTION("""COMPUTED_VALUE"""),42754.35552197889)</f>
        <v>42754.35552</v>
      </c>
      <c r="C3978" s="1" t="str">
        <f>IFERROR(__xludf.DUMMYFUNCTION("""COMPUTED_VALUE"""),"treatment")</f>
        <v>treatment</v>
      </c>
      <c r="D3978" s="1" t="str">
        <f>IFERROR(__xludf.DUMMYFUNCTION("""COMPUTED_VALUE"""),"new_page")</f>
        <v>new_page</v>
      </c>
      <c r="E3978" s="1">
        <f>IFERROR(__xludf.DUMMYFUNCTION("""COMPUTED_VALUE"""),0.0)</f>
        <v>0</v>
      </c>
    </row>
    <row r="3979">
      <c r="A3979" s="1">
        <f>IFERROR(__xludf.DUMMYFUNCTION("""COMPUTED_VALUE"""),875861.0)</f>
        <v>875861</v>
      </c>
      <c r="B3979" s="2">
        <f>IFERROR(__xludf.DUMMYFUNCTION("""COMPUTED_VALUE"""),42745.26073320013)</f>
        <v>42745.26073</v>
      </c>
      <c r="C3979" s="1" t="str">
        <f>IFERROR(__xludf.DUMMYFUNCTION("""COMPUTED_VALUE"""),"control")</f>
        <v>control</v>
      </c>
      <c r="D3979" s="1" t="str">
        <f>IFERROR(__xludf.DUMMYFUNCTION("""COMPUTED_VALUE"""),"old_page")</f>
        <v>old_page</v>
      </c>
      <c r="E3979" s="1">
        <f>IFERROR(__xludf.DUMMYFUNCTION("""COMPUTED_VALUE"""),0.0)</f>
        <v>0</v>
      </c>
    </row>
    <row r="3980">
      <c r="A3980" s="1">
        <f>IFERROR(__xludf.DUMMYFUNCTION("""COMPUTED_VALUE"""),942776.0)</f>
        <v>942776</v>
      </c>
      <c r="B3980" s="2">
        <f>IFERROR(__xludf.DUMMYFUNCTION("""COMPUTED_VALUE"""),42751.091546798045)</f>
        <v>42751.09155</v>
      </c>
      <c r="C3980" s="1" t="str">
        <f>IFERROR(__xludf.DUMMYFUNCTION("""COMPUTED_VALUE"""),"treatment")</f>
        <v>treatment</v>
      </c>
      <c r="D3980" s="1" t="str">
        <f>IFERROR(__xludf.DUMMYFUNCTION("""COMPUTED_VALUE"""),"new_page")</f>
        <v>new_page</v>
      </c>
      <c r="E3980" s="1">
        <f>IFERROR(__xludf.DUMMYFUNCTION("""COMPUTED_VALUE"""),0.0)</f>
        <v>0</v>
      </c>
    </row>
    <row r="3981">
      <c r="A3981" s="1">
        <f>IFERROR(__xludf.DUMMYFUNCTION("""COMPUTED_VALUE"""),754703.0)</f>
        <v>754703</v>
      </c>
      <c r="B3981" s="2">
        <f>IFERROR(__xludf.DUMMYFUNCTION("""COMPUTED_VALUE"""),42758.72268341874)</f>
        <v>42758.72268</v>
      </c>
      <c r="C3981" s="1" t="str">
        <f>IFERROR(__xludf.DUMMYFUNCTION("""COMPUTED_VALUE"""),"control")</f>
        <v>control</v>
      </c>
      <c r="D3981" s="1" t="str">
        <f>IFERROR(__xludf.DUMMYFUNCTION("""COMPUTED_VALUE"""),"old_page")</f>
        <v>old_page</v>
      </c>
      <c r="E3981" s="1">
        <f>IFERROR(__xludf.DUMMYFUNCTION("""COMPUTED_VALUE"""),0.0)</f>
        <v>0</v>
      </c>
    </row>
    <row r="3982">
      <c r="A3982" s="1">
        <f>IFERROR(__xludf.DUMMYFUNCTION("""COMPUTED_VALUE"""),821015.0)</f>
        <v>821015</v>
      </c>
      <c r="B3982" s="2">
        <f>IFERROR(__xludf.DUMMYFUNCTION("""COMPUTED_VALUE"""),42756.324752443725)</f>
        <v>42756.32475</v>
      </c>
      <c r="C3982" s="1" t="str">
        <f>IFERROR(__xludf.DUMMYFUNCTION("""COMPUTED_VALUE"""),"treatment")</f>
        <v>treatment</v>
      </c>
      <c r="D3982" s="1" t="str">
        <f>IFERROR(__xludf.DUMMYFUNCTION("""COMPUTED_VALUE"""),"new_page")</f>
        <v>new_page</v>
      </c>
      <c r="E3982" s="1">
        <f>IFERROR(__xludf.DUMMYFUNCTION("""COMPUTED_VALUE"""),0.0)</f>
        <v>0</v>
      </c>
    </row>
    <row r="3983">
      <c r="A3983" s="1">
        <f>IFERROR(__xludf.DUMMYFUNCTION("""COMPUTED_VALUE"""),934064.0)</f>
        <v>934064</v>
      </c>
      <c r="B3983" s="2">
        <f>IFERROR(__xludf.DUMMYFUNCTION("""COMPUTED_VALUE"""),42738.07930483418)</f>
        <v>42738.0793</v>
      </c>
      <c r="C3983" s="1" t="str">
        <f>IFERROR(__xludf.DUMMYFUNCTION("""COMPUTED_VALUE"""),"control")</f>
        <v>control</v>
      </c>
      <c r="D3983" s="1" t="str">
        <f>IFERROR(__xludf.DUMMYFUNCTION("""COMPUTED_VALUE"""),"old_page")</f>
        <v>old_page</v>
      </c>
      <c r="E3983" s="1">
        <f>IFERROR(__xludf.DUMMYFUNCTION("""COMPUTED_VALUE"""),0.0)</f>
        <v>0</v>
      </c>
    </row>
    <row r="3984">
      <c r="A3984" s="1">
        <f>IFERROR(__xludf.DUMMYFUNCTION("""COMPUTED_VALUE"""),817294.0)</f>
        <v>817294</v>
      </c>
      <c r="B3984" s="2">
        <f>IFERROR(__xludf.DUMMYFUNCTION("""COMPUTED_VALUE"""),42750.466020359956)</f>
        <v>42750.46602</v>
      </c>
      <c r="C3984" s="1" t="str">
        <f>IFERROR(__xludf.DUMMYFUNCTION("""COMPUTED_VALUE"""),"treatment")</f>
        <v>treatment</v>
      </c>
      <c r="D3984" s="1" t="str">
        <f>IFERROR(__xludf.DUMMYFUNCTION("""COMPUTED_VALUE"""),"new_page")</f>
        <v>new_page</v>
      </c>
      <c r="E3984" s="1">
        <f>IFERROR(__xludf.DUMMYFUNCTION("""COMPUTED_VALUE"""),0.0)</f>
        <v>0</v>
      </c>
    </row>
    <row r="3985">
      <c r="A3985" s="1">
        <f>IFERROR(__xludf.DUMMYFUNCTION("""COMPUTED_VALUE"""),867744.0)</f>
        <v>867744</v>
      </c>
      <c r="B3985" s="2">
        <f>IFERROR(__xludf.DUMMYFUNCTION("""COMPUTED_VALUE"""),42742.30631985733)</f>
        <v>42742.30632</v>
      </c>
      <c r="C3985" s="1" t="str">
        <f>IFERROR(__xludf.DUMMYFUNCTION("""COMPUTED_VALUE"""),"control")</f>
        <v>control</v>
      </c>
      <c r="D3985" s="1" t="str">
        <f>IFERROR(__xludf.DUMMYFUNCTION("""COMPUTED_VALUE"""),"old_page")</f>
        <v>old_page</v>
      </c>
      <c r="E3985" s="1">
        <f>IFERROR(__xludf.DUMMYFUNCTION("""COMPUTED_VALUE"""),0.0)</f>
        <v>0</v>
      </c>
    </row>
    <row r="3986">
      <c r="A3986" s="1">
        <f>IFERROR(__xludf.DUMMYFUNCTION("""COMPUTED_VALUE"""),755906.0)</f>
        <v>755906</v>
      </c>
      <c r="B3986" s="2">
        <f>IFERROR(__xludf.DUMMYFUNCTION("""COMPUTED_VALUE"""),42749.55047086574)</f>
        <v>42749.55047</v>
      </c>
      <c r="C3986" s="1" t="str">
        <f>IFERROR(__xludf.DUMMYFUNCTION("""COMPUTED_VALUE"""),"treatment")</f>
        <v>treatment</v>
      </c>
      <c r="D3986" s="1" t="str">
        <f>IFERROR(__xludf.DUMMYFUNCTION("""COMPUTED_VALUE"""),"new_page")</f>
        <v>new_page</v>
      </c>
      <c r="E3986" s="1">
        <f>IFERROR(__xludf.DUMMYFUNCTION("""COMPUTED_VALUE"""),0.0)</f>
        <v>0</v>
      </c>
    </row>
    <row r="3987">
      <c r="A3987" s="1">
        <f>IFERROR(__xludf.DUMMYFUNCTION("""COMPUTED_VALUE"""),667627.0)</f>
        <v>667627</v>
      </c>
      <c r="B3987" s="2">
        <f>IFERROR(__xludf.DUMMYFUNCTION("""COMPUTED_VALUE"""),42755.59581062225)</f>
        <v>42755.59581</v>
      </c>
      <c r="C3987" s="1" t="str">
        <f>IFERROR(__xludf.DUMMYFUNCTION("""COMPUTED_VALUE"""),"control")</f>
        <v>control</v>
      </c>
      <c r="D3987" s="1" t="str">
        <f>IFERROR(__xludf.DUMMYFUNCTION("""COMPUTED_VALUE"""),"old_page")</f>
        <v>old_page</v>
      </c>
      <c r="E3987" s="1">
        <f>IFERROR(__xludf.DUMMYFUNCTION("""COMPUTED_VALUE"""),0.0)</f>
        <v>0</v>
      </c>
    </row>
    <row r="3988">
      <c r="A3988" s="1">
        <f>IFERROR(__xludf.DUMMYFUNCTION("""COMPUTED_VALUE"""),913082.0)</f>
        <v>913082</v>
      </c>
      <c r="B3988" s="2">
        <f>IFERROR(__xludf.DUMMYFUNCTION("""COMPUTED_VALUE"""),42739.32701987513)</f>
        <v>42739.32702</v>
      </c>
      <c r="C3988" s="1" t="str">
        <f>IFERROR(__xludf.DUMMYFUNCTION("""COMPUTED_VALUE"""),"treatment")</f>
        <v>treatment</v>
      </c>
      <c r="D3988" s="1" t="str">
        <f>IFERROR(__xludf.DUMMYFUNCTION("""COMPUTED_VALUE"""),"new_page")</f>
        <v>new_page</v>
      </c>
      <c r="E3988" s="1">
        <f>IFERROR(__xludf.DUMMYFUNCTION("""COMPUTED_VALUE"""),0.0)</f>
        <v>0</v>
      </c>
    </row>
    <row r="3989">
      <c r="A3989" s="1">
        <f>IFERROR(__xludf.DUMMYFUNCTION("""COMPUTED_VALUE"""),853768.0)</f>
        <v>853768</v>
      </c>
      <c r="B3989" s="2">
        <f>IFERROR(__xludf.DUMMYFUNCTION("""COMPUTED_VALUE"""),42746.53233648184)</f>
        <v>42746.53234</v>
      </c>
      <c r="C3989" s="1" t="str">
        <f>IFERROR(__xludf.DUMMYFUNCTION("""COMPUTED_VALUE"""),"treatment")</f>
        <v>treatment</v>
      </c>
      <c r="D3989" s="1" t="str">
        <f>IFERROR(__xludf.DUMMYFUNCTION("""COMPUTED_VALUE"""),"new_page")</f>
        <v>new_page</v>
      </c>
      <c r="E3989" s="1">
        <f>IFERROR(__xludf.DUMMYFUNCTION("""COMPUTED_VALUE"""),1.0)</f>
        <v>1</v>
      </c>
    </row>
    <row r="3990">
      <c r="A3990" s="1">
        <f>IFERROR(__xludf.DUMMYFUNCTION("""COMPUTED_VALUE"""),700102.0)</f>
        <v>700102</v>
      </c>
      <c r="B3990" s="2">
        <f>IFERROR(__xludf.DUMMYFUNCTION("""COMPUTED_VALUE"""),42742.855261672856)</f>
        <v>42742.85526</v>
      </c>
      <c r="C3990" s="1" t="str">
        <f>IFERROR(__xludf.DUMMYFUNCTION("""COMPUTED_VALUE"""),"control")</f>
        <v>control</v>
      </c>
      <c r="D3990" s="1" t="str">
        <f>IFERROR(__xludf.DUMMYFUNCTION("""COMPUTED_VALUE"""),"old_page")</f>
        <v>old_page</v>
      </c>
      <c r="E3990" s="1">
        <f>IFERROR(__xludf.DUMMYFUNCTION("""COMPUTED_VALUE"""),1.0)</f>
        <v>1</v>
      </c>
    </row>
    <row r="3991">
      <c r="A3991" s="1">
        <f>IFERROR(__xludf.DUMMYFUNCTION("""COMPUTED_VALUE"""),823539.0)</f>
        <v>823539</v>
      </c>
      <c r="B3991" s="2">
        <f>IFERROR(__xludf.DUMMYFUNCTION("""COMPUTED_VALUE"""),42741.51265663631)</f>
        <v>42741.51266</v>
      </c>
      <c r="C3991" s="1" t="str">
        <f>IFERROR(__xludf.DUMMYFUNCTION("""COMPUTED_VALUE"""),"treatment")</f>
        <v>treatment</v>
      </c>
      <c r="D3991" s="1" t="str">
        <f>IFERROR(__xludf.DUMMYFUNCTION("""COMPUTED_VALUE"""),"new_page")</f>
        <v>new_page</v>
      </c>
      <c r="E3991" s="1">
        <f>IFERROR(__xludf.DUMMYFUNCTION("""COMPUTED_VALUE"""),0.0)</f>
        <v>0</v>
      </c>
    </row>
    <row r="3992">
      <c r="A3992" s="1">
        <f>IFERROR(__xludf.DUMMYFUNCTION("""COMPUTED_VALUE"""),694959.0)</f>
        <v>694959</v>
      </c>
      <c r="B3992" s="2">
        <f>IFERROR(__xludf.DUMMYFUNCTION("""COMPUTED_VALUE"""),42749.48264506521)</f>
        <v>42749.48265</v>
      </c>
      <c r="C3992" s="1" t="str">
        <f>IFERROR(__xludf.DUMMYFUNCTION("""COMPUTED_VALUE"""),"control")</f>
        <v>control</v>
      </c>
      <c r="D3992" s="1" t="str">
        <f>IFERROR(__xludf.DUMMYFUNCTION("""COMPUTED_VALUE"""),"old_page")</f>
        <v>old_page</v>
      </c>
      <c r="E3992" s="1">
        <f>IFERROR(__xludf.DUMMYFUNCTION("""COMPUTED_VALUE"""),0.0)</f>
        <v>0</v>
      </c>
    </row>
    <row r="3993">
      <c r="A3993" s="1">
        <f>IFERROR(__xludf.DUMMYFUNCTION("""COMPUTED_VALUE"""),804830.0)</f>
        <v>804830</v>
      </c>
      <c r="B3993" s="2">
        <f>IFERROR(__xludf.DUMMYFUNCTION("""COMPUTED_VALUE"""),42755.88860693052)</f>
        <v>42755.88861</v>
      </c>
      <c r="C3993" s="1" t="str">
        <f>IFERROR(__xludf.DUMMYFUNCTION("""COMPUTED_VALUE"""),"control")</f>
        <v>control</v>
      </c>
      <c r="D3993" s="1" t="str">
        <f>IFERROR(__xludf.DUMMYFUNCTION("""COMPUTED_VALUE"""),"old_page")</f>
        <v>old_page</v>
      </c>
      <c r="E3993" s="1">
        <f>IFERROR(__xludf.DUMMYFUNCTION("""COMPUTED_VALUE"""),0.0)</f>
        <v>0</v>
      </c>
    </row>
    <row r="3994">
      <c r="A3994" s="1">
        <f>IFERROR(__xludf.DUMMYFUNCTION("""COMPUTED_VALUE"""),681933.0)</f>
        <v>681933</v>
      </c>
      <c r="B3994" s="2">
        <f>IFERROR(__xludf.DUMMYFUNCTION("""COMPUTED_VALUE"""),42759.044786123945)</f>
        <v>42759.04479</v>
      </c>
      <c r="C3994" s="1" t="str">
        <f>IFERROR(__xludf.DUMMYFUNCTION("""COMPUTED_VALUE"""),"treatment")</f>
        <v>treatment</v>
      </c>
      <c r="D3994" s="1" t="str">
        <f>IFERROR(__xludf.DUMMYFUNCTION("""COMPUTED_VALUE"""),"new_page")</f>
        <v>new_page</v>
      </c>
      <c r="E3994" s="1">
        <f>IFERROR(__xludf.DUMMYFUNCTION("""COMPUTED_VALUE"""),0.0)</f>
        <v>0</v>
      </c>
    </row>
    <row r="3995">
      <c r="A3995" s="1">
        <f>IFERROR(__xludf.DUMMYFUNCTION("""COMPUTED_VALUE"""),852873.0)</f>
        <v>852873</v>
      </c>
      <c r="B3995" s="2">
        <f>IFERROR(__xludf.DUMMYFUNCTION("""COMPUTED_VALUE"""),42747.71949099752)</f>
        <v>42747.71949</v>
      </c>
      <c r="C3995" s="1" t="str">
        <f>IFERROR(__xludf.DUMMYFUNCTION("""COMPUTED_VALUE"""),"control")</f>
        <v>control</v>
      </c>
      <c r="D3995" s="1" t="str">
        <f>IFERROR(__xludf.DUMMYFUNCTION("""COMPUTED_VALUE"""),"old_page")</f>
        <v>old_page</v>
      </c>
      <c r="E3995" s="1">
        <f>IFERROR(__xludf.DUMMYFUNCTION("""COMPUTED_VALUE"""),0.0)</f>
        <v>0</v>
      </c>
    </row>
    <row r="3996">
      <c r="A3996" s="1">
        <f>IFERROR(__xludf.DUMMYFUNCTION("""COMPUTED_VALUE"""),739157.0)</f>
        <v>739157</v>
      </c>
      <c r="B3996" s="2">
        <f>IFERROR(__xludf.DUMMYFUNCTION("""COMPUTED_VALUE"""),42743.65799389314)</f>
        <v>42743.65799</v>
      </c>
      <c r="C3996" s="1" t="str">
        <f>IFERROR(__xludf.DUMMYFUNCTION("""COMPUTED_VALUE"""),"treatment")</f>
        <v>treatment</v>
      </c>
      <c r="D3996" s="1" t="str">
        <f>IFERROR(__xludf.DUMMYFUNCTION("""COMPUTED_VALUE"""),"new_page")</f>
        <v>new_page</v>
      </c>
      <c r="E3996" s="1">
        <f>IFERROR(__xludf.DUMMYFUNCTION("""COMPUTED_VALUE"""),0.0)</f>
        <v>0</v>
      </c>
    </row>
    <row r="3997">
      <c r="A3997" s="1">
        <f>IFERROR(__xludf.DUMMYFUNCTION("""COMPUTED_VALUE"""),720865.0)</f>
        <v>720865</v>
      </c>
      <c r="B3997" s="2">
        <f>IFERROR(__xludf.DUMMYFUNCTION("""COMPUTED_VALUE"""),42756.482251290974)</f>
        <v>42756.48225</v>
      </c>
      <c r="C3997" s="1" t="str">
        <f>IFERROR(__xludf.DUMMYFUNCTION("""COMPUTED_VALUE"""),"control")</f>
        <v>control</v>
      </c>
      <c r="D3997" s="1" t="str">
        <f>IFERROR(__xludf.DUMMYFUNCTION("""COMPUTED_VALUE"""),"old_page")</f>
        <v>old_page</v>
      </c>
      <c r="E3997" s="1">
        <f>IFERROR(__xludf.DUMMYFUNCTION("""COMPUTED_VALUE"""),0.0)</f>
        <v>0</v>
      </c>
    </row>
    <row r="3998">
      <c r="A3998" s="1">
        <f>IFERROR(__xludf.DUMMYFUNCTION("""COMPUTED_VALUE"""),866582.0)</f>
        <v>866582</v>
      </c>
      <c r="B3998" s="2">
        <f>IFERROR(__xludf.DUMMYFUNCTION("""COMPUTED_VALUE"""),42753.79086916493)</f>
        <v>42753.79087</v>
      </c>
      <c r="C3998" s="1" t="str">
        <f>IFERROR(__xludf.DUMMYFUNCTION("""COMPUTED_VALUE"""),"treatment")</f>
        <v>treatment</v>
      </c>
      <c r="D3998" s="1" t="str">
        <f>IFERROR(__xludf.DUMMYFUNCTION("""COMPUTED_VALUE"""),"new_page")</f>
        <v>new_page</v>
      </c>
      <c r="E3998" s="1">
        <f>IFERROR(__xludf.DUMMYFUNCTION("""COMPUTED_VALUE"""),0.0)</f>
        <v>0</v>
      </c>
    </row>
    <row r="3999">
      <c r="A3999" s="1">
        <f>IFERROR(__xludf.DUMMYFUNCTION("""COMPUTED_VALUE"""),937047.0)</f>
        <v>937047</v>
      </c>
      <c r="B3999" s="2">
        <f>IFERROR(__xludf.DUMMYFUNCTION("""COMPUTED_VALUE"""),42739.07689413654)</f>
        <v>42739.07689</v>
      </c>
      <c r="C3999" s="1" t="str">
        <f>IFERROR(__xludf.DUMMYFUNCTION("""COMPUTED_VALUE"""),"control")</f>
        <v>control</v>
      </c>
      <c r="D3999" s="1" t="str">
        <f>IFERROR(__xludf.DUMMYFUNCTION("""COMPUTED_VALUE"""),"old_page")</f>
        <v>old_page</v>
      </c>
      <c r="E3999" s="1">
        <f>IFERROR(__xludf.DUMMYFUNCTION("""COMPUTED_VALUE"""),0.0)</f>
        <v>0</v>
      </c>
    </row>
    <row r="4000">
      <c r="A4000" s="1">
        <f>IFERROR(__xludf.DUMMYFUNCTION("""COMPUTED_VALUE"""),775640.0)</f>
        <v>775640</v>
      </c>
      <c r="B4000" s="2">
        <f>IFERROR(__xludf.DUMMYFUNCTION("""COMPUTED_VALUE"""),42744.568985479134)</f>
        <v>42744.56899</v>
      </c>
      <c r="C4000" s="1" t="str">
        <f>IFERROR(__xludf.DUMMYFUNCTION("""COMPUTED_VALUE"""),"treatment")</f>
        <v>treatment</v>
      </c>
      <c r="D4000" s="1" t="str">
        <f>IFERROR(__xludf.DUMMYFUNCTION("""COMPUTED_VALUE"""),"new_page")</f>
        <v>new_page</v>
      </c>
      <c r="E4000" s="1">
        <f>IFERROR(__xludf.DUMMYFUNCTION("""COMPUTED_VALUE"""),0.0)</f>
        <v>0</v>
      </c>
    </row>
    <row r="4001">
      <c r="A4001" s="1">
        <f>IFERROR(__xludf.DUMMYFUNCTION("""COMPUTED_VALUE"""),834544.0)</f>
        <v>834544</v>
      </c>
      <c r="B4001" s="2">
        <f>IFERROR(__xludf.DUMMYFUNCTION("""COMPUTED_VALUE"""),42754.593245726806)</f>
        <v>42754.59325</v>
      </c>
      <c r="C4001" s="1" t="str">
        <f>IFERROR(__xludf.DUMMYFUNCTION("""COMPUTED_VALUE"""),"treatment")</f>
        <v>treatment</v>
      </c>
      <c r="D4001" s="1" t="str">
        <f>IFERROR(__xludf.DUMMYFUNCTION("""COMPUTED_VALUE"""),"new_page")</f>
        <v>new_page</v>
      </c>
      <c r="E4001" s="1">
        <f>IFERROR(__xludf.DUMMYFUNCTION("""COMPUTED_VALUE"""),0.0)</f>
        <v>0</v>
      </c>
    </row>
    <row r="4002">
      <c r="A4002" s="1">
        <f>IFERROR(__xludf.DUMMYFUNCTION("""COMPUTED_VALUE"""),706721.0)</f>
        <v>706721</v>
      </c>
      <c r="B4002" s="2">
        <f>IFERROR(__xludf.DUMMYFUNCTION("""COMPUTED_VALUE"""),42739.02250653601)</f>
        <v>42739.02251</v>
      </c>
      <c r="C4002" s="1" t="str">
        <f>IFERROR(__xludf.DUMMYFUNCTION("""COMPUTED_VALUE"""),"treatment")</f>
        <v>treatment</v>
      </c>
      <c r="D4002" s="1" t="str">
        <f>IFERROR(__xludf.DUMMYFUNCTION("""COMPUTED_VALUE"""),"old_page")</f>
        <v>old_page</v>
      </c>
      <c r="E4002" s="1">
        <f>IFERROR(__xludf.DUMMYFUNCTION("""COMPUTED_VALUE"""),0.0)</f>
        <v>0</v>
      </c>
    </row>
    <row r="4003">
      <c r="A4003" s="1">
        <f>IFERROR(__xludf.DUMMYFUNCTION("""COMPUTED_VALUE"""),939917.0)</f>
        <v>939917</v>
      </c>
      <c r="B4003" s="2">
        <f>IFERROR(__xludf.DUMMYFUNCTION("""COMPUTED_VALUE"""),42744.96882304893)</f>
        <v>42744.96882</v>
      </c>
      <c r="C4003" s="1" t="str">
        <f>IFERROR(__xludf.DUMMYFUNCTION("""COMPUTED_VALUE"""),"treatment")</f>
        <v>treatment</v>
      </c>
      <c r="D4003" s="1" t="str">
        <f>IFERROR(__xludf.DUMMYFUNCTION("""COMPUTED_VALUE"""),"new_page")</f>
        <v>new_page</v>
      </c>
      <c r="E4003" s="1">
        <f>IFERROR(__xludf.DUMMYFUNCTION("""COMPUTED_VALUE"""),0.0)</f>
        <v>0</v>
      </c>
    </row>
    <row r="4004">
      <c r="A4004" s="1">
        <f>IFERROR(__xludf.DUMMYFUNCTION("""COMPUTED_VALUE"""),907753.0)</f>
        <v>907753</v>
      </c>
      <c r="B4004" s="2">
        <f>IFERROR(__xludf.DUMMYFUNCTION("""COMPUTED_VALUE"""),42744.172949081054)</f>
        <v>42744.17295</v>
      </c>
      <c r="C4004" s="1" t="str">
        <f>IFERROR(__xludf.DUMMYFUNCTION("""COMPUTED_VALUE"""),"control")</f>
        <v>control</v>
      </c>
      <c r="D4004" s="1" t="str">
        <f>IFERROR(__xludf.DUMMYFUNCTION("""COMPUTED_VALUE"""),"old_page")</f>
        <v>old_page</v>
      </c>
      <c r="E4004" s="1">
        <f>IFERROR(__xludf.DUMMYFUNCTION("""COMPUTED_VALUE"""),0.0)</f>
        <v>0</v>
      </c>
    </row>
    <row r="4005">
      <c r="A4005" s="1">
        <f>IFERROR(__xludf.DUMMYFUNCTION("""COMPUTED_VALUE"""),871378.0)</f>
        <v>871378</v>
      </c>
      <c r="B4005" s="2">
        <f>IFERROR(__xludf.DUMMYFUNCTION("""COMPUTED_VALUE"""),42758.146771285035)</f>
        <v>42758.14677</v>
      </c>
      <c r="C4005" s="1" t="str">
        <f>IFERROR(__xludf.DUMMYFUNCTION("""COMPUTED_VALUE"""),"treatment")</f>
        <v>treatment</v>
      </c>
      <c r="D4005" s="1" t="str">
        <f>IFERROR(__xludf.DUMMYFUNCTION("""COMPUTED_VALUE"""),"new_page")</f>
        <v>new_page</v>
      </c>
      <c r="E4005" s="1">
        <f>IFERROR(__xludf.DUMMYFUNCTION("""COMPUTED_VALUE"""),0.0)</f>
        <v>0</v>
      </c>
    </row>
    <row r="4006">
      <c r="A4006" s="1">
        <f>IFERROR(__xludf.DUMMYFUNCTION("""COMPUTED_VALUE"""),877505.0)</f>
        <v>877505</v>
      </c>
      <c r="B4006" s="2">
        <f>IFERROR(__xludf.DUMMYFUNCTION("""COMPUTED_VALUE"""),42741.69412845153)</f>
        <v>42741.69413</v>
      </c>
      <c r="C4006" s="1" t="str">
        <f>IFERROR(__xludf.DUMMYFUNCTION("""COMPUTED_VALUE"""),"control")</f>
        <v>control</v>
      </c>
      <c r="D4006" s="1" t="str">
        <f>IFERROR(__xludf.DUMMYFUNCTION("""COMPUTED_VALUE"""),"old_page")</f>
        <v>old_page</v>
      </c>
      <c r="E4006" s="1">
        <f>IFERROR(__xludf.DUMMYFUNCTION("""COMPUTED_VALUE"""),0.0)</f>
        <v>0</v>
      </c>
    </row>
    <row r="4007">
      <c r="A4007" s="1">
        <f>IFERROR(__xludf.DUMMYFUNCTION("""COMPUTED_VALUE"""),860860.0)</f>
        <v>860860</v>
      </c>
      <c r="B4007" s="2">
        <f>IFERROR(__xludf.DUMMYFUNCTION("""COMPUTED_VALUE"""),42747.35895991852)</f>
        <v>42747.35896</v>
      </c>
      <c r="C4007" s="1" t="str">
        <f>IFERROR(__xludf.DUMMYFUNCTION("""COMPUTED_VALUE"""),"control")</f>
        <v>control</v>
      </c>
      <c r="D4007" s="1" t="str">
        <f>IFERROR(__xludf.DUMMYFUNCTION("""COMPUTED_VALUE"""),"old_page")</f>
        <v>old_page</v>
      </c>
      <c r="E4007" s="1">
        <f>IFERROR(__xludf.DUMMYFUNCTION("""COMPUTED_VALUE"""),0.0)</f>
        <v>0</v>
      </c>
    </row>
    <row r="4008">
      <c r="A4008" s="1">
        <f>IFERROR(__xludf.DUMMYFUNCTION("""COMPUTED_VALUE"""),689810.0)</f>
        <v>689810</v>
      </c>
      <c r="B4008" s="2">
        <f>IFERROR(__xludf.DUMMYFUNCTION("""COMPUTED_VALUE"""),42741.20947709506)</f>
        <v>42741.20948</v>
      </c>
      <c r="C4008" s="1" t="str">
        <f>IFERROR(__xludf.DUMMYFUNCTION("""COMPUTED_VALUE"""),"control")</f>
        <v>control</v>
      </c>
      <c r="D4008" s="1" t="str">
        <f>IFERROR(__xludf.DUMMYFUNCTION("""COMPUTED_VALUE"""),"old_page")</f>
        <v>old_page</v>
      </c>
      <c r="E4008" s="1">
        <f>IFERROR(__xludf.DUMMYFUNCTION("""COMPUTED_VALUE"""),0.0)</f>
        <v>0</v>
      </c>
    </row>
    <row r="4009">
      <c r="A4009" s="1">
        <f>IFERROR(__xludf.DUMMYFUNCTION("""COMPUTED_VALUE"""),758713.0)</f>
        <v>758713</v>
      </c>
      <c r="B4009" s="2">
        <f>IFERROR(__xludf.DUMMYFUNCTION("""COMPUTED_VALUE"""),42747.130004719824)</f>
        <v>42747.13</v>
      </c>
      <c r="C4009" s="1" t="str">
        <f>IFERROR(__xludf.DUMMYFUNCTION("""COMPUTED_VALUE"""),"treatment")</f>
        <v>treatment</v>
      </c>
      <c r="D4009" s="1" t="str">
        <f>IFERROR(__xludf.DUMMYFUNCTION("""COMPUTED_VALUE"""),"new_page")</f>
        <v>new_page</v>
      </c>
      <c r="E4009" s="1">
        <f>IFERROR(__xludf.DUMMYFUNCTION("""COMPUTED_VALUE"""),0.0)</f>
        <v>0</v>
      </c>
    </row>
    <row r="4010">
      <c r="A4010" s="1">
        <f>IFERROR(__xludf.DUMMYFUNCTION("""COMPUTED_VALUE"""),741338.0)</f>
        <v>741338</v>
      </c>
      <c r="B4010" s="2">
        <f>IFERROR(__xludf.DUMMYFUNCTION("""COMPUTED_VALUE"""),42757.88612205662)</f>
        <v>42757.88612</v>
      </c>
      <c r="C4010" s="1" t="str">
        <f>IFERROR(__xludf.DUMMYFUNCTION("""COMPUTED_VALUE"""),"treatment")</f>
        <v>treatment</v>
      </c>
      <c r="D4010" s="1" t="str">
        <f>IFERROR(__xludf.DUMMYFUNCTION("""COMPUTED_VALUE"""),"new_page")</f>
        <v>new_page</v>
      </c>
      <c r="E4010" s="1">
        <f>IFERROR(__xludf.DUMMYFUNCTION("""COMPUTED_VALUE"""),0.0)</f>
        <v>0</v>
      </c>
    </row>
    <row r="4011">
      <c r="A4011" s="1">
        <f>IFERROR(__xludf.DUMMYFUNCTION("""COMPUTED_VALUE"""),926860.0)</f>
        <v>926860</v>
      </c>
      <c r="B4011" s="2">
        <f>IFERROR(__xludf.DUMMYFUNCTION("""COMPUTED_VALUE"""),42758.499076212014)</f>
        <v>42758.49908</v>
      </c>
      <c r="C4011" s="1" t="str">
        <f>IFERROR(__xludf.DUMMYFUNCTION("""COMPUTED_VALUE"""),"control")</f>
        <v>control</v>
      </c>
      <c r="D4011" s="1" t="str">
        <f>IFERROR(__xludf.DUMMYFUNCTION("""COMPUTED_VALUE"""),"old_page")</f>
        <v>old_page</v>
      </c>
      <c r="E4011" s="1">
        <f>IFERROR(__xludf.DUMMYFUNCTION("""COMPUTED_VALUE"""),0.0)</f>
        <v>0</v>
      </c>
    </row>
    <row r="4012">
      <c r="A4012" s="1">
        <f>IFERROR(__xludf.DUMMYFUNCTION("""COMPUTED_VALUE"""),873569.0)</f>
        <v>873569</v>
      </c>
      <c r="B4012" s="2">
        <f>IFERROR(__xludf.DUMMYFUNCTION("""COMPUTED_VALUE"""),42745.79326385633)</f>
        <v>42745.79326</v>
      </c>
      <c r="C4012" s="1" t="str">
        <f>IFERROR(__xludf.DUMMYFUNCTION("""COMPUTED_VALUE"""),"control")</f>
        <v>control</v>
      </c>
      <c r="D4012" s="1" t="str">
        <f>IFERROR(__xludf.DUMMYFUNCTION("""COMPUTED_VALUE"""),"old_page")</f>
        <v>old_page</v>
      </c>
      <c r="E4012" s="1">
        <f>IFERROR(__xludf.DUMMYFUNCTION("""COMPUTED_VALUE"""),0.0)</f>
        <v>0</v>
      </c>
    </row>
    <row r="4013">
      <c r="A4013" s="1">
        <f>IFERROR(__xludf.DUMMYFUNCTION("""COMPUTED_VALUE"""),710446.0)</f>
        <v>710446</v>
      </c>
      <c r="B4013" s="2">
        <f>IFERROR(__xludf.DUMMYFUNCTION("""COMPUTED_VALUE"""),42743.02847086699)</f>
        <v>42743.02847</v>
      </c>
      <c r="C4013" s="1" t="str">
        <f>IFERROR(__xludf.DUMMYFUNCTION("""COMPUTED_VALUE"""),"treatment")</f>
        <v>treatment</v>
      </c>
      <c r="D4013" s="1" t="str">
        <f>IFERROR(__xludf.DUMMYFUNCTION("""COMPUTED_VALUE"""),"new_page")</f>
        <v>new_page</v>
      </c>
      <c r="E4013" s="1">
        <f>IFERROR(__xludf.DUMMYFUNCTION("""COMPUTED_VALUE"""),0.0)</f>
        <v>0</v>
      </c>
    </row>
    <row r="4014">
      <c r="A4014" s="1">
        <f>IFERROR(__xludf.DUMMYFUNCTION("""COMPUTED_VALUE"""),656749.0)</f>
        <v>656749</v>
      </c>
      <c r="B4014" s="2">
        <f>IFERROR(__xludf.DUMMYFUNCTION("""COMPUTED_VALUE"""),42757.62390242654)</f>
        <v>42757.6239</v>
      </c>
      <c r="C4014" s="1" t="str">
        <f>IFERROR(__xludf.DUMMYFUNCTION("""COMPUTED_VALUE"""),"control")</f>
        <v>control</v>
      </c>
      <c r="D4014" s="1" t="str">
        <f>IFERROR(__xludf.DUMMYFUNCTION("""COMPUTED_VALUE"""),"old_page")</f>
        <v>old_page</v>
      </c>
      <c r="E4014" s="1">
        <f>IFERROR(__xludf.DUMMYFUNCTION("""COMPUTED_VALUE"""),0.0)</f>
        <v>0</v>
      </c>
    </row>
    <row r="4015">
      <c r="A4015" s="1">
        <f>IFERROR(__xludf.DUMMYFUNCTION("""COMPUTED_VALUE"""),756734.0)</f>
        <v>756734</v>
      </c>
      <c r="B4015" s="2">
        <f>IFERROR(__xludf.DUMMYFUNCTION("""COMPUTED_VALUE"""),42743.88648074199)</f>
        <v>42743.88648</v>
      </c>
      <c r="C4015" s="1" t="str">
        <f>IFERROR(__xludf.DUMMYFUNCTION("""COMPUTED_VALUE"""),"control")</f>
        <v>control</v>
      </c>
      <c r="D4015" s="1" t="str">
        <f>IFERROR(__xludf.DUMMYFUNCTION("""COMPUTED_VALUE"""),"old_page")</f>
        <v>old_page</v>
      </c>
      <c r="E4015" s="1">
        <f>IFERROR(__xludf.DUMMYFUNCTION("""COMPUTED_VALUE"""),0.0)</f>
        <v>0</v>
      </c>
    </row>
    <row r="4016">
      <c r="A4016" s="1">
        <f>IFERROR(__xludf.DUMMYFUNCTION("""COMPUTED_VALUE"""),884404.0)</f>
        <v>884404</v>
      </c>
      <c r="B4016" s="2">
        <f>IFERROR(__xludf.DUMMYFUNCTION("""COMPUTED_VALUE"""),42758.93880992561)</f>
        <v>42758.93881</v>
      </c>
      <c r="C4016" s="1" t="str">
        <f>IFERROR(__xludf.DUMMYFUNCTION("""COMPUTED_VALUE"""),"treatment")</f>
        <v>treatment</v>
      </c>
      <c r="D4016" s="1" t="str">
        <f>IFERROR(__xludf.DUMMYFUNCTION("""COMPUTED_VALUE"""),"new_page")</f>
        <v>new_page</v>
      </c>
      <c r="E4016" s="1">
        <f>IFERROR(__xludf.DUMMYFUNCTION("""COMPUTED_VALUE"""),0.0)</f>
        <v>0</v>
      </c>
    </row>
    <row r="4017">
      <c r="A4017" s="1">
        <f>IFERROR(__xludf.DUMMYFUNCTION("""COMPUTED_VALUE"""),779690.0)</f>
        <v>779690</v>
      </c>
      <c r="B4017" s="2">
        <f>IFERROR(__xludf.DUMMYFUNCTION("""COMPUTED_VALUE"""),42749.624251924586)</f>
        <v>42749.62425</v>
      </c>
      <c r="C4017" s="1" t="str">
        <f>IFERROR(__xludf.DUMMYFUNCTION("""COMPUTED_VALUE"""),"control")</f>
        <v>control</v>
      </c>
      <c r="D4017" s="1" t="str">
        <f>IFERROR(__xludf.DUMMYFUNCTION("""COMPUTED_VALUE"""),"old_page")</f>
        <v>old_page</v>
      </c>
      <c r="E4017" s="1">
        <f>IFERROR(__xludf.DUMMYFUNCTION("""COMPUTED_VALUE"""),0.0)</f>
        <v>0</v>
      </c>
    </row>
    <row r="4018">
      <c r="A4018" s="1">
        <f>IFERROR(__xludf.DUMMYFUNCTION("""COMPUTED_VALUE"""),700435.0)</f>
        <v>700435</v>
      </c>
      <c r="B4018" s="2">
        <f>IFERROR(__xludf.DUMMYFUNCTION("""COMPUTED_VALUE"""),42745.64138936677)</f>
        <v>42745.64139</v>
      </c>
      <c r="C4018" s="1" t="str">
        <f>IFERROR(__xludf.DUMMYFUNCTION("""COMPUTED_VALUE"""),"control")</f>
        <v>control</v>
      </c>
      <c r="D4018" s="1" t="str">
        <f>IFERROR(__xludf.DUMMYFUNCTION("""COMPUTED_VALUE"""),"old_page")</f>
        <v>old_page</v>
      </c>
      <c r="E4018" s="1">
        <f>IFERROR(__xludf.DUMMYFUNCTION("""COMPUTED_VALUE"""),0.0)</f>
        <v>0</v>
      </c>
    </row>
    <row r="4019">
      <c r="A4019" s="1">
        <f>IFERROR(__xludf.DUMMYFUNCTION("""COMPUTED_VALUE"""),863625.0)</f>
        <v>863625</v>
      </c>
      <c r="B4019" s="2">
        <f>IFERROR(__xludf.DUMMYFUNCTION("""COMPUTED_VALUE"""),42747.99425951259)</f>
        <v>42747.99426</v>
      </c>
      <c r="C4019" s="1" t="str">
        <f>IFERROR(__xludf.DUMMYFUNCTION("""COMPUTED_VALUE"""),"control")</f>
        <v>control</v>
      </c>
      <c r="D4019" s="1" t="str">
        <f>IFERROR(__xludf.DUMMYFUNCTION("""COMPUTED_VALUE"""),"old_page")</f>
        <v>old_page</v>
      </c>
      <c r="E4019" s="1">
        <f>IFERROR(__xludf.DUMMYFUNCTION("""COMPUTED_VALUE"""),0.0)</f>
        <v>0</v>
      </c>
    </row>
    <row r="4020">
      <c r="A4020" s="1">
        <f>IFERROR(__xludf.DUMMYFUNCTION("""COMPUTED_VALUE"""),679627.0)</f>
        <v>679627</v>
      </c>
      <c r="B4020" s="2">
        <f>IFERROR(__xludf.DUMMYFUNCTION("""COMPUTED_VALUE"""),42754.71573635992)</f>
        <v>42754.71574</v>
      </c>
      <c r="C4020" s="1" t="str">
        <f>IFERROR(__xludf.DUMMYFUNCTION("""COMPUTED_VALUE"""),"control")</f>
        <v>control</v>
      </c>
      <c r="D4020" s="1" t="str">
        <f>IFERROR(__xludf.DUMMYFUNCTION("""COMPUTED_VALUE"""),"old_page")</f>
        <v>old_page</v>
      </c>
      <c r="E4020" s="1">
        <f>IFERROR(__xludf.DUMMYFUNCTION("""COMPUTED_VALUE"""),0.0)</f>
        <v>0</v>
      </c>
    </row>
    <row r="4021">
      <c r="A4021" s="1">
        <f>IFERROR(__xludf.DUMMYFUNCTION("""COMPUTED_VALUE"""),853664.0)</f>
        <v>853664</v>
      </c>
      <c r="B4021" s="2">
        <f>IFERROR(__xludf.DUMMYFUNCTION("""COMPUTED_VALUE"""),42742.28953982928)</f>
        <v>42742.28954</v>
      </c>
      <c r="C4021" s="1" t="str">
        <f>IFERROR(__xludf.DUMMYFUNCTION("""COMPUTED_VALUE"""),"control")</f>
        <v>control</v>
      </c>
      <c r="D4021" s="1" t="str">
        <f>IFERROR(__xludf.DUMMYFUNCTION("""COMPUTED_VALUE"""),"old_page")</f>
        <v>old_page</v>
      </c>
      <c r="E4021" s="1">
        <f>IFERROR(__xludf.DUMMYFUNCTION("""COMPUTED_VALUE"""),0.0)</f>
        <v>0</v>
      </c>
    </row>
    <row r="4022">
      <c r="A4022" s="1">
        <f>IFERROR(__xludf.DUMMYFUNCTION("""COMPUTED_VALUE"""),883947.0)</f>
        <v>883947</v>
      </c>
      <c r="B4022" s="2">
        <f>IFERROR(__xludf.DUMMYFUNCTION("""COMPUTED_VALUE"""),42753.73936747762)</f>
        <v>42753.73937</v>
      </c>
      <c r="C4022" s="1" t="str">
        <f>IFERROR(__xludf.DUMMYFUNCTION("""COMPUTED_VALUE"""),"treatment")</f>
        <v>treatment</v>
      </c>
      <c r="D4022" s="1" t="str">
        <f>IFERROR(__xludf.DUMMYFUNCTION("""COMPUTED_VALUE"""),"new_page")</f>
        <v>new_page</v>
      </c>
      <c r="E4022" s="1">
        <f>IFERROR(__xludf.DUMMYFUNCTION("""COMPUTED_VALUE"""),0.0)</f>
        <v>0</v>
      </c>
    </row>
    <row r="4023">
      <c r="A4023" s="1">
        <f>IFERROR(__xludf.DUMMYFUNCTION("""COMPUTED_VALUE"""),834256.0)</f>
        <v>834256</v>
      </c>
      <c r="B4023" s="2">
        <f>IFERROR(__xludf.DUMMYFUNCTION("""COMPUTED_VALUE"""),42741.684709396206)</f>
        <v>42741.68471</v>
      </c>
      <c r="C4023" s="1" t="str">
        <f>IFERROR(__xludf.DUMMYFUNCTION("""COMPUTED_VALUE"""),"control")</f>
        <v>control</v>
      </c>
      <c r="D4023" s="1" t="str">
        <f>IFERROR(__xludf.DUMMYFUNCTION("""COMPUTED_VALUE"""),"old_page")</f>
        <v>old_page</v>
      </c>
      <c r="E4023" s="1">
        <f>IFERROR(__xludf.DUMMYFUNCTION("""COMPUTED_VALUE"""),0.0)</f>
        <v>0</v>
      </c>
    </row>
    <row r="4024">
      <c r="A4024" s="1">
        <f>IFERROR(__xludf.DUMMYFUNCTION("""COMPUTED_VALUE"""),831277.0)</f>
        <v>831277</v>
      </c>
      <c r="B4024" s="2">
        <f>IFERROR(__xludf.DUMMYFUNCTION("""COMPUTED_VALUE"""),42745.41303923023)</f>
        <v>42745.41304</v>
      </c>
      <c r="C4024" s="1" t="str">
        <f>IFERROR(__xludf.DUMMYFUNCTION("""COMPUTED_VALUE"""),"treatment")</f>
        <v>treatment</v>
      </c>
      <c r="D4024" s="1" t="str">
        <f>IFERROR(__xludf.DUMMYFUNCTION("""COMPUTED_VALUE"""),"new_page")</f>
        <v>new_page</v>
      </c>
      <c r="E4024" s="1">
        <f>IFERROR(__xludf.DUMMYFUNCTION("""COMPUTED_VALUE"""),0.0)</f>
        <v>0</v>
      </c>
    </row>
    <row r="4025">
      <c r="A4025" s="1">
        <f>IFERROR(__xludf.DUMMYFUNCTION("""COMPUTED_VALUE"""),894982.0)</f>
        <v>894982</v>
      </c>
      <c r="B4025" s="2">
        <f>IFERROR(__xludf.DUMMYFUNCTION("""COMPUTED_VALUE"""),42747.070205969256)</f>
        <v>42747.07021</v>
      </c>
      <c r="C4025" s="1" t="str">
        <f>IFERROR(__xludf.DUMMYFUNCTION("""COMPUTED_VALUE"""),"control")</f>
        <v>control</v>
      </c>
      <c r="D4025" s="1" t="str">
        <f>IFERROR(__xludf.DUMMYFUNCTION("""COMPUTED_VALUE"""),"old_page")</f>
        <v>old_page</v>
      </c>
      <c r="E4025" s="1">
        <f>IFERROR(__xludf.DUMMYFUNCTION("""COMPUTED_VALUE"""),0.0)</f>
        <v>0</v>
      </c>
    </row>
    <row r="4026">
      <c r="A4026" s="1">
        <f>IFERROR(__xludf.DUMMYFUNCTION("""COMPUTED_VALUE"""),676261.0)</f>
        <v>676261</v>
      </c>
      <c r="B4026" s="2">
        <f>IFERROR(__xludf.DUMMYFUNCTION("""COMPUTED_VALUE"""),42743.043602244245)</f>
        <v>42743.0436</v>
      </c>
      <c r="C4026" s="1" t="str">
        <f>IFERROR(__xludf.DUMMYFUNCTION("""COMPUTED_VALUE"""),"control")</f>
        <v>control</v>
      </c>
      <c r="D4026" s="1" t="str">
        <f>IFERROR(__xludf.DUMMYFUNCTION("""COMPUTED_VALUE"""),"old_page")</f>
        <v>old_page</v>
      </c>
      <c r="E4026" s="1">
        <f>IFERROR(__xludf.DUMMYFUNCTION("""COMPUTED_VALUE"""),0.0)</f>
        <v>0</v>
      </c>
    </row>
    <row r="4027">
      <c r="A4027" s="1">
        <f>IFERROR(__xludf.DUMMYFUNCTION("""COMPUTED_VALUE"""),648279.0)</f>
        <v>648279</v>
      </c>
      <c r="B4027" s="2">
        <f>IFERROR(__xludf.DUMMYFUNCTION("""COMPUTED_VALUE"""),42757.37553636176)</f>
        <v>42757.37554</v>
      </c>
      <c r="C4027" s="1" t="str">
        <f>IFERROR(__xludf.DUMMYFUNCTION("""COMPUTED_VALUE"""),"control")</f>
        <v>control</v>
      </c>
      <c r="D4027" s="1" t="str">
        <f>IFERROR(__xludf.DUMMYFUNCTION("""COMPUTED_VALUE"""),"old_page")</f>
        <v>old_page</v>
      </c>
      <c r="E4027" s="1">
        <f>IFERROR(__xludf.DUMMYFUNCTION("""COMPUTED_VALUE"""),0.0)</f>
        <v>0</v>
      </c>
    </row>
    <row r="4028">
      <c r="A4028" s="1">
        <f>IFERROR(__xludf.DUMMYFUNCTION("""COMPUTED_VALUE"""),687431.0)</f>
        <v>687431</v>
      </c>
      <c r="B4028" s="2">
        <f>IFERROR(__xludf.DUMMYFUNCTION("""COMPUTED_VALUE"""),42755.958942675126)</f>
        <v>42755.95894</v>
      </c>
      <c r="C4028" s="1" t="str">
        <f>IFERROR(__xludf.DUMMYFUNCTION("""COMPUTED_VALUE"""),"treatment")</f>
        <v>treatment</v>
      </c>
      <c r="D4028" s="1" t="str">
        <f>IFERROR(__xludf.DUMMYFUNCTION("""COMPUTED_VALUE"""),"new_page")</f>
        <v>new_page</v>
      </c>
      <c r="E4028" s="1">
        <f>IFERROR(__xludf.DUMMYFUNCTION("""COMPUTED_VALUE"""),0.0)</f>
        <v>0</v>
      </c>
    </row>
    <row r="4029">
      <c r="A4029" s="1">
        <f>IFERROR(__xludf.DUMMYFUNCTION("""COMPUTED_VALUE"""),940566.0)</f>
        <v>940566</v>
      </c>
      <c r="B4029" s="2">
        <f>IFERROR(__xludf.DUMMYFUNCTION("""COMPUTED_VALUE"""),42758.915554781495)</f>
        <v>42758.91555</v>
      </c>
      <c r="C4029" s="1" t="str">
        <f>IFERROR(__xludf.DUMMYFUNCTION("""COMPUTED_VALUE"""),"control")</f>
        <v>control</v>
      </c>
      <c r="D4029" s="1" t="str">
        <f>IFERROR(__xludf.DUMMYFUNCTION("""COMPUTED_VALUE"""),"old_page")</f>
        <v>old_page</v>
      </c>
      <c r="E4029" s="1">
        <f>IFERROR(__xludf.DUMMYFUNCTION("""COMPUTED_VALUE"""),0.0)</f>
        <v>0</v>
      </c>
    </row>
    <row r="4030">
      <c r="A4030" s="1">
        <f>IFERROR(__xludf.DUMMYFUNCTION("""COMPUTED_VALUE"""),637120.0)</f>
        <v>637120</v>
      </c>
      <c r="B4030" s="2">
        <f>IFERROR(__xludf.DUMMYFUNCTION("""COMPUTED_VALUE"""),42741.37028713244)</f>
        <v>42741.37029</v>
      </c>
      <c r="C4030" s="1" t="str">
        <f>IFERROR(__xludf.DUMMYFUNCTION("""COMPUTED_VALUE"""),"control")</f>
        <v>control</v>
      </c>
      <c r="D4030" s="1" t="str">
        <f>IFERROR(__xludf.DUMMYFUNCTION("""COMPUTED_VALUE"""),"old_page")</f>
        <v>old_page</v>
      </c>
      <c r="E4030" s="1">
        <f>IFERROR(__xludf.DUMMYFUNCTION("""COMPUTED_VALUE"""),0.0)</f>
        <v>0</v>
      </c>
    </row>
    <row r="4031">
      <c r="A4031" s="1">
        <f>IFERROR(__xludf.DUMMYFUNCTION("""COMPUTED_VALUE"""),802367.0)</f>
        <v>802367</v>
      </c>
      <c r="B4031" s="2">
        <f>IFERROR(__xludf.DUMMYFUNCTION("""COMPUTED_VALUE"""),42740.43060414828)</f>
        <v>42740.4306</v>
      </c>
      <c r="C4031" s="1" t="str">
        <f>IFERROR(__xludf.DUMMYFUNCTION("""COMPUTED_VALUE"""),"control")</f>
        <v>control</v>
      </c>
      <c r="D4031" s="1" t="str">
        <f>IFERROR(__xludf.DUMMYFUNCTION("""COMPUTED_VALUE"""),"old_page")</f>
        <v>old_page</v>
      </c>
      <c r="E4031" s="1">
        <f>IFERROR(__xludf.DUMMYFUNCTION("""COMPUTED_VALUE"""),0.0)</f>
        <v>0</v>
      </c>
    </row>
    <row r="4032">
      <c r="A4032" s="1">
        <f>IFERROR(__xludf.DUMMYFUNCTION("""COMPUTED_VALUE"""),679388.0)</f>
        <v>679388</v>
      </c>
      <c r="B4032" s="2">
        <f>IFERROR(__xludf.DUMMYFUNCTION("""COMPUTED_VALUE"""),42755.65223123029)</f>
        <v>42755.65223</v>
      </c>
      <c r="C4032" s="1" t="str">
        <f>IFERROR(__xludf.DUMMYFUNCTION("""COMPUTED_VALUE"""),"control")</f>
        <v>control</v>
      </c>
      <c r="D4032" s="1" t="str">
        <f>IFERROR(__xludf.DUMMYFUNCTION("""COMPUTED_VALUE"""),"old_page")</f>
        <v>old_page</v>
      </c>
      <c r="E4032" s="1">
        <f>IFERROR(__xludf.DUMMYFUNCTION("""COMPUTED_VALUE"""),0.0)</f>
        <v>0</v>
      </c>
    </row>
    <row r="4033">
      <c r="A4033" s="1">
        <f>IFERROR(__xludf.DUMMYFUNCTION("""COMPUTED_VALUE"""),884543.0)</f>
        <v>884543</v>
      </c>
      <c r="B4033" s="2">
        <f>IFERROR(__xludf.DUMMYFUNCTION("""COMPUTED_VALUE"""),42753.78864592228)</f>
        <v>42753.78865</v>
      </c>
      <c r="C4033" s="1" t="str">
        <f>IFERROR(__xludf.DUMMYFUNCTION("""COMPUTED_VALUE"""),"treatment")</f>
        <v>treatment</v>
      </c>
      <c r="D4033" s="1" t="str">
        <f>IFERROR(__xludf.DUMMYFUNCTION("""COMPUTED_VALUE"""),"new_page")</f>
        <v>new_page</v>
      </c>
      <c r="E4033" s="1">
        <f>IFERROR(__xludf.DUMMYFUNCTION("""COMPUTED_VALUE"""),0.0)</f>
        <v>0</v>
      </c>
    </row>
    <row r="4034">
      <c r="A4034" s="1">
        <f>IFERROR(__xludf.DUMMYFUNCTION("""COMPUTED_VALUE"""),636641.0)</f>
        <v>636641</v>
      </c>
      <c r="B4034" s="2">
        <f>IFERROR(__xludf.DUMMYFUNCTION("""COMPUTED_VALUE"""),42758.20240897925)</f>
        <v>42758.20241</v>
      </c>
      <c r="C4034" s="1" t="str">
        <f>IFERROR(__xludf.DUMMYFUNCTION("""COMPUTED_VALUE"""),"control")</f>
        <v>control</v>
      </c>
      <c r="D4034" s="1" t="str">
        <f>IFERROR(__xludf.DUMMYFUNCTION("""COMPUTED_VALUE"""),"old_page")</f>
        <v>old_page</v>
      </c>
      <c r="E4034" s="1">
        <f>IFERROR(__xludf.DUMMYFUNCTION("""COMPUTED_VALUE"""),0.0)</f>
        <v>0</v>
      </c>
    </row>
    <row r="4035">
      <c r="A4035" s="1">
        <f>IFERROR(__xludf.DUMMYFUNCTION("""COMPUTED_VALUE"""),812362.0)</f>
        <v>812362</v>
      </c>
      <c r="B4035" s="2">
        <f>IFERROR(__xludf.DUMMYFUNCTION("""COMPUTED_VALUE"""),42738.85479710935)</f>
        <v>42738.8548</v>
      </c>
      <c r="C4035" s="1" t="str">
        <f>IFERROR(__xludf.DUMMYFUNCTION("""COMPUTED_VALUE"""),"control")</f>
        <v>control</v>
      </c>
      <c r="D4035" s="1" t="str">
        <f>IFERROR(__xludf.DUMMYFUNCTION("""COMPUTED_VALUE"""),"old_page")</f>
        <v>old_page</v>
      </c>
      <c r="E4035" s="1">
        <f>IFERROR(__xludf.DUMMYFUNCTION("""COMPUTED_VALUE"""),0.0)</f>
        <v>0</v>
      </c>
    </row>
    <row r="4036">
      <c r="A4036" s="1">
        <f>IFERROR(__xludf.DUMMYFUNCTION("""COMPUTED_VALUE"""),786674.0)</f>
        <v>786674</v>
      </c>
      <c r="B4036" s="2">
        <f>IFERROR(__xludf.DUMMYFUNCTION("""COMPUTED_VALUE"""),42753.45214760049)</f>
        <v>42753.45215</v>
      </c>
      <c r="C4036" s="1" t="str">
        <f>IFERROR(__xludf.DUMMYFUNCTION("""COMPUTED_VALUE"""),"control")</f>
        <v>control</v>
      </c>
      <c r="D4036" s="1" t="str">
        <f>IFERROR(__xludf.DUMMYFUNCTION("""COMPUTED_VALUE"""),"old_page")</f>
        <v>old_page</v>
      </c>
      <c r="E4036" s="1">
        <f>IFERROR(__xludf.DUMMYFUNCTION("""COMPUTED_VALUE"""),0.0)</f>
        <v>0</v>
      </c>
    </row>
    <row r="4037">
      <c r="A4037" s="1">
        <f>IFERROR(__xludf.DUMMYFUNCTION("""COMPUTED_VALUE"""),711554.0)</f>
        <v>711554</v>
      </c>
      <c r="B4037" s="2">
        <f>IFERROR(__xludf.DUMMYFUNCTION("""COMPUTED_VALUE"""),42756.99252747966)</f>
        <v>42756.99253</v>
      </c>
      <c r="C4037" s="1" t="str">
        <f>IFERROR(__xludf.DUMMYFUNCTION("""COMPUTED_VALUE"""),"treatment")</f>
        <v>treatment</v>
      </c>
      <c r="D4037" s="1" t="str">
        <f>IFERROR(__xludf.DUMMYFUNCTION("""COMPUTED_VALUE"""),"new_page")</f>
        <v>new_page</v>
      </c>
      <c r="E4037" s="1">
        <f>IFERROR(__xludf.DUMMYFUNCTION("""COMPUTED_VALUE"""),0.0)</f>
        <v>0</v>
      </c>
    </row>
    <row r="4038">
      <c r="A4038" s="1">
        <f>IFERROR(__xludf.DUMMYFUNCTION("""COMPUTED_VALUE"""),802988.0)</f>
        <v>802988</v>
      </c>
      <c r="B4038" s="2">
        <f>IFERROR(__xludf.DUMMYFUNCTION("""COMPUTED_VALUE"""),42738.88678494706)</f>
        <v>42738.88678</v>
      </c>
      <c r="C4038" s="1" t="str">
        <f>IFERROR(__xludf.DUMMYFUNCTION("""COMPUTED_VALUE"""),"treatment")</f>
        <v>treatment</v>
      </c>
      <c r="D4038" s="1" t="str">
        <f>IFERROR(__xludf.DUMMYFUNCTION("""COMPUTED_VALUE"""),"new_page")</f>
        <v>new_page</v>
      </c>
      <c r="E4038" s="1">
        <f>IFERROR(__xludf.DUMMYFUNCTION("""COMPUTED_VALUE"""),1.0)</f>
        <v>1</v>
      </c>
    </row>
    <row r="4039">
      <c r="A4039" s="1">
        <f>IFERROR(__xludf.DUMMYFUNCTION("""COMPUTED_VALUE"""),675837.0)</f>
        <v>675837</v>
      </c>
      <c r="B4039" s="2">
        <f>IFERROR(__xludf.DUMMYFUNCTION("""COMPUTED_VALUE"""),42756.33195747329)</f>
        <v>42756.33196</v>
      </c>
      <c r="C4039" s="1" t="str">
        <f>IFERROR(__xludf.DUMMYFUNCTION("""COMPUTED_VALUE"""),"control")</f>
        <v>control</v>
      </c>
      <c r="D4039" s="1" t="str">
        <f>IFERROR(__xludf.DUMMYFUNCTION("""COMPUTED_VALUE"""),"old_page")</f>
        <v>old_page</v>
      </c>
      <c r="E4039" s="1">
        <f>IFERROR(__xludf.DUMMYFUNCTION("""COMPUTED_VALUE"""),0.0)</f>
        <v>0</v>
      </c>
    </row>
    <row r="4040">
      <c r="A4040" s="1">
        <f>IFERROR(__xludf.DUMMYFUNCTION("""COMPUTED_VALUE"""),919582.0)</f>
        <v>919582</v>
      </c>
      <c r="B4040" s="2">
        <f>IFERROR(__xludf.DUMMYFUNCTION("""COMPUTED_VALUE"""),42739.51699947992)</f>
        <v>42739.517</v>
      </c>
      <c r="C4040" s="1" t="str">
        <f>IFERROR(__xludf.DUMMYFUNCTION("""COMPUTED_VALUE"""),"control")</f>
        <v>control</v>
      </c>
      <c r="D4040" s="1" t="str">
        <f>IFERROR(__xludf.DUMMYFUNCTION("""COMPUTED_VALUE"""),"new_page")</f>
        <v>new_page</v>
      </c>
      <c r="E4040" s="1">
        <f>IFERROR(__xludf.DUMMYFUNCTION("""COMPUTED_VALUE"""),0.0)</f>
        <v>0</v>
      </c>
    </row>
    <row r="4041">
      <c r="A4041" s="1">
        <f>IFERROR(__xludf.DUMMYFUNCTION("""COMPUTED_VALUE"""),742842.0)</f>
        <v>742842</v>
      </c>
      <c r="B4041" s="2">
        <f>IFERROR(__xludf.DUMMYFUNCTION("""COMPUTED_VALUE"""),42742.94199964753)</f>
        <v>42742.942</v>
      </c>
      <c r="C4041" s="1" t="str">
        <f>IFERROR(__xludf.DUMMYFUNCTION("""COMPUTED_VALUE"""),"control")</f>
        <v>control</v>
      </c>
      <c r="D4041" s="1" t="str">
        <f>IFERROR(__xludf.DUMMYFUNCTION("""COMPUTED_VALUE"""),"old_page")</f>
        <v>old_page</v>
      </c>
      <c r="E4041" s="1">
        <f>IFERROR(__xludf.DUMMYFUNCTION("""COMPUTED_VALUE"""),0.0)</f>
        <v>0</v>
      </c>
    </row>
    <row r="4042">
      <c r="A4042" s="1">
        <f>IFERROR(__xludf.DUMMYFUNCTION("""COMPUTED_VALUE"""),914387.0)</f>
        <v>914387</v>
      </c>
      <c r="B4042" s="2">
        <f>IFERROR(__xludf.DUMMYFUNCTION("""COMPUTED_VALUE"""),42746.8690470143)</f>
        <v>42746.86905</v>
      </c>
      <c r="C4042" s="1" t="str">
        <f>IFERROR(__xludf.DUMMYFUNCTION("""COMPUTED_VALUE"""),"treatment")</f>
        <v>treatment</v>
      </c>
      <c r="D4042" s="1" t="str">
        <f>IFERROR(__xludf.DUMMYFUNCTION("""COMPUTED_VALUE"""),"new_page")</f>
        <v>new_page</v>
      </c>
      <c r="E4042" s="1">
        <f>IFERROR(__xludf.DUMMYFUNCTION("""COMPUTED_VALUE"""),0.0)</f>
        <v>0</v>
      </c>
    </row>
    <row r="4043">
      <c r="A4043" s="1">
        <f>IFERROR(__xludf.DUMMYFUNCTION("""COMPUTED_VALUE"""),714898.0)</f>
        <v>714898</v>
      </c>
      <c r="B4043" s="2">
        <f>IFERROR(__xludf.DUMMYFUNCTION("""COMPUTED_VALUE"""),42749.76236532873)</f>
        <v>42749.76237</v>
      </c>
      <c r="C4043" s="1" t="str">
        <f>IFERROR(__xludf.DUMMYFUNCTION("""COMPUTED_VALUE"""),"control")</f>
        <v>control</v>
      </c>
      <c r="D4043" s="1" t="str">
        <f>IFERROR(__xludf.DUMMYFUNCTION("""COMPUTED_VALUE"""),"old_page")</f>
        <v>old_page</v>
      </c>
      <c r="E4043" s="1">
        <f>IFERROR(__xludf.DUMMYFUNCTION("""COMPUTED_VALUE"""),0.0)</f>
        <v>0</v>
      </c>
    </row>
    <row r="4044">
      <c r="A4044" s="1">
        <f>IFERROR(__xludf.DUMMYFUNCTION("""COMPUTED_VALUE"""),693184.0)</f>
        <v>693184</v>
      </c>
      <c r="B4044" s="2">
        <f>IFERROR(__xludf.DUMMYFUNCTION("""COMPUTED_VALUE"""),42751.86144045906)</f>
        <v>42751.86144</v>
      </c>
      <c r="C4044" s="1" t="str">
        <f>IFERROR(__xludf.DUMMYFUNCTION("""COMPUTED_VALUE"""),"treatment")</f>
        <v>treatment</v>
      </c>
      <c r="D4044" s="1" t="str">
        <f>IFERROR(__xludf.DUMMYFUNCTION("""COMPUTED_VALUE"""),"new_page")</f>
        <v>new_page</v>
      </c>
      <c r="E4044" s="1">
        <f>IFERROR(__xludf.DUMMYFUNCTION("""COMPUTED_VALUE"""),0.0)</f>
        <v>0</v>
      </c>
    </row>
    <row r="4045">
      <c r="A4045" s="1">
        <f>IFERROR(__xludf.DUMMYFUNCTION("""COMPUTED_VALUE"""),846754.0)</f>
        <v>846754</v>
      </c>
      <c r="B4045" s="2">
        <f>IFERROR(__xludf.DUMMYFUNCTION("""COMPUTED_VALUE"""),42759.06088556021)</f>
        <v>42759.06089</v>
      </c>
      <c r="C4045" s="1" t="str">
        <f>IFERROR(__xludf.DUMMYFUNCTION("""COMPUTED_VALUE"""),"treatment")</f>
        <v>treatment</v>
      </c>
      <c r="D4045" s="1" t="str">
        <f>IFERROR(__xludf.DUMMYFUNCTION("""COMPUTED_VALUE"""),"old_page")</f>
        <v>old_page</v>
      </c>
      <c r="E4045" s="1">
        <f>IFERROR(__xludf.DUMMYFUNCTION("""COMPUTED_VALUE"""),0.0)</f>
        <v>0</v>
      </c>
    </row>
    <row r="4046">
      <c r="A4046" s="1">
        <f>IFERROR(__xludf.DUMMYFUNCTION("""COMPUTED_VALUE"""),903065.0)</f>
        <v>903065</v>
      </c>
      <c r="B4046" s="2">
        <f>IFERROR(__xludf.DUMMYFUNCTION("""COMPUTED_VALUE"""),42741.132339343196)</f>
        <v>42741.13234</v>
      </c>
      <c r="C4046" s="1" t="str">
        <f>IFERROR(__xludf.DUMMYFUNCTION("""COMPUTED_VALUE"""),"control")</f>
        <v>control</v>
      </c>
      <c r="D4046" s="1" t="str">
        <f>IFERROR(__xludf.DUMMYFUNCTION("""COMPUTED_VALUE"""),"old_page")</f>
        <v>old_page</v>
      </c>
      <c r="E4046" s="1">
        <f>IFERROR(__xludf.DUMMYFUNCTION("""COMPUTED_VALUE"""),0.0)</f>
        <v>0</v>
      </c>
    </row>
    <row r="4047">
      <c r="A4047" s="1">
        <f>IFERROR(__xludf.DUMMYFUNCTION("""COMPUTED_VALUE"""),871259.0)</f>
        <v>871259</v>
      </c>
      <c r="B4047" s="2">
        <f>IFERROR(__xludf.DUMMYFUNCTION("""COMPUTED_VALUE"""),42739.75666340418)</f>
        <v>42739.75666</v>
      </c>
      <c r="C4047" s="1" t="str">
        <f>IFERROR(__xludf.DUMMYFUNCTION("""COMPUTED_VALUE"""),"treatment")</f>
        <v>treatment</v>
      </c>
      <c r="D4047" s="1" t="str">
        <f>IFERROR(__xludf.DUMMYFUNCTION("""COMPUTED_VALUE"""),"new_page")</f>
        <v>new_page</v>
      </c>
      <c r="E4047" s="1">
        <f>IFERROR(__xludf.DUMMYFUNCTION("""COMPUTED_VALUE"""),1.0)</f>
        <v>1</v>
      </c>
    </row>
    <row r="4048">
      <c r="A4048" s="1">
        <f>IFERROR(__xludf.DUMMYFUNCTION("""COMPUTED_VALUE"""),916646.0)</f>
        <v>916646</v>
      </c>
      <c r="B4048" s="2">
        <f>IFERROR(__xludf.DUMMYFUNCTION("""COMPUTED_VALUE"""),42758.118495029295)</f>
        <v>42758.1185</v>
      </c>
      <c r="C4048" s="1" t="str">
        <f>IFERROR(__xludf.DUMMYFUNCTION("""COMPUTED_VALUE"""),"control")</f>
        <v>control</v>
      </c>
      <c r="D4048" s="1" t="str">
        <f>IFERROR(__xludf.DUMMYFUNCTION("""COMPUTED_VALUE"""),"old_page")</f>
        <v>old_page</v>
      </c>
      <c r="E4048" s="1">
        <f>IFERROR(__xludf.DUMMYFUNCTION("""COMPUTED_VALUE"""),0.0)</f>
        <v>0</v>
      </c>
    </row>
    <row r="4049">
      <c r="A4049" s="1">
        <f>IFERROR(__xludf.DUMMYFUNCTION("""COMPUTED_VALUE"""),707395.0)</f>
        <v>707395</v>
      </c>
      <c r="B4049" s="2">
        <f>IFERROR(__xludf.DUMMYFUNCTION("""COMPUTED_VALUE"""),42738.33086558858)</f>
        <v>42738.33087</v>
      </c>
      <c r="C4049" s="1" t="str">
        <f>IFERROR(__xludf.DUMMYFUNCTION("""COMPUTED_VALUE"""),"treatment")</f>
        <v>treatment</v>
      </c>
      <c r="D4049" s="1" t="str">
        <f>IFERROR(__xludf.DUMMYFUNCTION("""COMPUTED_VALUE"""),"new_page")</f>
        <v>new_page</v>
      </c>
      <c r="E4049" s="1">
        <f>IFERROR(__xludf.DUMMYFUNCTION("""COMPUTED_VALUE"""),0.0)</f>
        <v>0</v>
      </c>
    </row>
    <row r="4050">
      <c r="A4050" s="1">
        <f>IFERROR(__xludf.DUMMYFUNCTION("""COMPUTED_VALUE"""),771779.0)</f>
        <v>771779</v>
      </c>
      <c r="B4050" s="2">
        <f>IFERROR(__xludf.DUMMYFUNCTION("""COMPUTED_VALUE"""),42746.908900357266)</f>
        <v>42746.9089</v>
      </c>
      <c r="C4050" s="1" t="str">
        <f>IFERROR(__xludf.DUMMYFUNCTION("""COMPUTED_VALUE"""),"control")</f>
        <v>control</v>
      </c>
      <c r="D4050" s="1" t="str">
        <f>IFERROR(__xludf.DUMMYFUNCTION("""COMPUTED_VALUE"""),"old_page")</f>
        <v>old_page</v>
      </c>
      <c r="E4050" s="1">
        <f>IFERROR(__xludf.DUMMYFUNCTION("""COMPUTED_VALUE"""),0.0)</f>
        <v>0</v>
      </c>
    </row>
    <row r="4051">
      <c r="A4051" s="1">
        <f>IFERROR(__xludf.DUMMYFUNCTION("""COMPUTED_VALUE"""),932259.0)</f>
        <v>932259</v>
      </c>
      <c r="B4051" s="2">
        <f>IFERROR(__xludf.DUMMYFUNCTION("""COMPUTED_VALUE"""),42738.850104714744)</f>
        <v>42738.8501</v>
      </c>
      <c r="C4051" s="1" t="str">
        <f>IFERROR(__xludf.DUMMYFUNCTION("""COMPUTED_VALUE"""),"control")</f>
        <v>control</v>
      </c>
      <c r="D4051" s="1" t="str">
        <f>IFERROR(__xludf.DUMMYFUNCTION("""COMPUTED_VALUE"""),"old_page")</f>
        <v>old_page</v>
      </c>
      <c r="E4051" s="1">
        <f>IFERROR(__xludf.DUMMYFUNCTION("""COMPUTED_VALUE"""),0.0)</f>
        <v>0</v>
      </c>
    </row>
    <row r="4052">
      <c r="A4052" s="1">
        <f>IFERROR(__xludf.DUMMYFUNCTION("""COMPUTED_VALUE"""),850462.0)</f>
        <v>850462</v>
      </c>
      <c r="B4052" s="2">
        <f>IFERROR(__xludf.DUMMYFUNCTION("""COMPUTED_VALUE"""),42752.401212921635)</f>
        <v>42752.40121</v>
      </c>
      <c r="C4052" s="1" t="str">
        <f>IFERROR(__xludf.DUMMYFUNCTION("""COMPUTED_VALUE"""),"control")</f>
        <v>control</v>
      </c>
      <c r="D4052" s="1" t="str">
        <f>IFERROR(__xludf.DUMMYFUNCTION("""COMPUTED_VALUE"""),"old_page")</f>
        <v>old_page</v>
      </c>
      <c r="E4052" s="1">
        <f>IFERROR(__xludf.DUMMYFUNCTION("""COMPUTED_VALUE"""),0.0)</f>
        <v>0</v>
      </c>
    </row>
    <row r="4053">
      <c r="A4053" s="1">
        <f>IFERROR(__xludf.DUMMYFUNCTION("""COMPUTED_VALUE"""),844477.0)</f>
        <v>844477</v>
      </c>
      <c r="B4053" s="2">
        <f>IFERROR(__xludf.DUMMYFUNCTION("""COMPUTED_VALUE"""),42750.28888866339)</f>
        <v>42750.28889</v>
      </c>
      <c r="C4053" s="1" t="str">
        <f>IFERROR(__xludf.DUMMYFUNCTION("""COMPUTED_VALUE"""),"control")</f>
        <v>control</v>
      </c>
      <c r="D4053" s="1" t="str">
        <f>IFERROR(__xludf.DUMMYFUNCTION("""COMPUTED_VALUE"""),"old_page")</f>
        <v>old_page</v>
      </c>
      <c r="E4053" s="1">
        <f>IFERROR(__xludf.DUMMYFUNCTION("""COMPUTED_VALUE"""),0.0)</f>
        <v>0</v>
      </c>
    </row>
    <row r="4054">
      <c r="A4054" s="1">
        <f>IFERROR(__xludf.DUMMYFUNCTION("""COMPUTED_VALUE"""),770640.0)</f>
        <v>770640</v>
      </c>
      <c r="B4054" s="2">
        <f>IFERROR(__xludf.DUMMYFUNCTION("""COMPUTED_VALUE"""),42744.23827411411)</f>
        <v>42744.23827</v>
      </c>
      <c r="C4054" s="1" t="str">
        <f>IFERROR(__xludf.DUMMYFUNCTION("""COMPUTED_VALUE"""),"treatment")</f>
        <v>treatment</v>
      </c>
      <c r="D4054" s="1" t="str">
        <f>IFERROR(__xludf.DUMMYFUNCTION("""COMPUTED_VALUE"""),"new_page")</f>
        <v>new_page</v>
      </c>
      <c r="E4054" s="1">
        <f>IFERROR(__xludf.DUMMYFUNCTION("""COMPUTED_VALUE"""),0.0)</f>
        <v>0</v>
      </c>
    </row>
    <row r="4055">
      <c r="A4055" s="1">
        <f>IFERROR(__xludf.DUMMYFUNCTION("""COMPUTED_VALUE"""),658262.0)</f>
        <v>658262</v>
      </c>
      <c r="B4055" s="2">
        <f>IFERROR(__xludf.DUMMYFUNCTION("""COMPUTED_VALUE"""),42759.30598362585)</f>
        <v>42759.30598</v>
      </c>
      <c r="C4055" s="1" t="str">
        <f>IFERROR(__xludf.DUMMYFUNCTION("""COMPUTED_VALUE"""),"control")</f>
        <v>control</v>
      </c>
      <c r="D4055" s="1" t="str">
        <f>IFERROR(__xludf.DUMMYFUNCTION("""COMPUTED_VALUE"""),"old_page")</f>
        <v>old_page</v>
      </c>
      <c r="E4055" s="1">
        <f>IFERROR(__xludf.DUMMYFUNCTION("""COMPUTED_VALUE"""),0.0)</f>
        <v>0</v>
      </c>
    </row>
    <row r="4056">
      <c r="A4056" s="1">
        <f>IFERROR(__xludf.DUMMYFUNCTION("""COMPUTED_VALUE"""),913273.0)</f>
        <v>913273</v>
      </c>
      <c r="B4056" s="2">
        <f>IFERROR(__xludf.DUMMYFUNCTION("""COMPUTED_VALUE"""),42743.45019937469)</f>
        <v>42743.4502</v>
      </c>
      <c r="C4056" s="1" t="str">
        <f>IFERROR(__xludf.DUMMYFUNCTION("""COMPUTED_VALUE"""),"treatment")</f>
        <v>treatment</v>
      </c>
      <c r="D4056" s="1" t="str">
        <f>IFERROR(__xludf.DUMMYFUNCTION("""COMPUTED_VALUE"""),"new_page")</f>
        <v>new_page</v>
      </c>
      <c r="E4056" s="1">
        <f>IFERROR(__xludf.DUMMYFUNCTION("""COMPUTED_VALUE"""),0.0)</f>
        <v>0</v>
      </c>
    </row>
    <row r="4057">
      <c r="A4057" s="1">
        <f>IFERROR(__xludf.DUMMYFUNCTION("""COMPUTED_VALUE"""),648786.0)</f>
        <v>648786</v>
      </c>
      <c r="B4057" s="2">
        <f>IFERROR(__xludf.DUMMYFUNCTION("""COMPUTED_VALUE"""),42753.70485276152)</f>
        <v>42753.70485</v>
      </c>
      <c r="C4057" s="1" t="str">
        <f>IFERROR(__xludf.DUMMYFUNCTION("""COMPUTED_VALUE"""),"control")</f>
        <v>control</v>
      </c>
      <c r="D4057" s="1" t="str">
        <f>IFERROR(__xludf.DUMMYFUNCTION("""COMPUTED_VALUE"""),"old_page")</f>
        <v>old_page</v>
      </c>
      <c r="E4057" s="1">
        <f>IFERROR(__xludf.DUMMYFUNCTION("""COMPUTED_VALUE"""),0.0)</f>
        <v>0</v>
      </c>
    </row>
    <row r="4058">
      <c r="A4058" s="1">
        <f>IFERROR(__xludf.DUMMYFUNCTION("""COMPUTED_VALUE"""),715300.0)</f>
        <v>715300</v>
      </c>
      <c r="B4058" s="2">
        <f>IFERROR(__xludf.DUMMYFUNCTION("""COMPUTED_VALUE"""),42738.11820213661)</f>
        <v>42738.1182</v>
      </c>
      <c r="C4058" s="1" t="str">
        <f>IFERROR(__xludf.DUMMYFUNCTION("""COMPUTED_VALUE"""),"control")</f>
        <v>control</v>
      </c>
      <c r="D4058" s="1" t="str">
        <f>IFERROR(__xludf.DUMMYFUNCTION("""COMPUTED_VALUE"""),"old_page")</f>
        <v>old_page</v>
      </c>
      <c r="E4058" s="1">
        <f>IFERROR(__xludf.DUMMYFUNCTION("""COMPUTED_VALUE"""),0.0)</f>
        <v>0</v>
      </c>
    </row>
    <row r="4059">
      <c r="A4059" s="1">
        <f>IFERROR(__xludf.DUMMYFUNCTION("""COMPUTED_VALUE"""),698541.0)</f>
        <v>698541</v>
      </c>
      <c r="B4059" s="2">
        <f>IFERROR(__xludf.DUMMYFUNCTION("""COMPUTED_VALUE"""),42747.04811453118)</f>
        <v>42747.04811</v>
      </c>
      <c r="C4059" s="1" t="str">
        <f>IFERROR(__xludf.DUMMYFUNCTION("""COMPUTED_VALUE"""),"control")</f>
        <v>control</v>
      </c>
      <c r="D4059" s="1" t="str">
        <f>IFERROR(__xludf.DUMMYFUNCTION("""COMPUTED_VALUE"""),"old_page")</f>
        <v>old_page</v>
      </c>
      <c r="E4059" s="1">
        <f>IFERROR(__xludf.DUMMYFUNCTION("""COMPUTED_VALUE"""),0.0)</f>
        <v>0</v>
      </c>
    </row>
    <row r="4060">
      <c r="A4060" s="1">
        <f>IFERROR(__xludf.DUMMYFUNCTION("""COMPUTED_VALUE"""),854525.0)</f>
        <v>854525</v>
      </c>
      <c r="B4060" s="2">
        <f>IFERROR(__xludf.DUMMYFUNCTION("""COMPUTED_VALUE"""),42738.43020596507)</f>
        <v>42738.43021</v>
      </c>
      <c r="C4060" s="1" t="str">
        <f>IFERROR(__xludf.DUMMYFUNCTION("""COMPUTED_VALUE"""),"control")</f>
        <v>control</v>
      </c>
      <c r="D4060" s="1" t="str">
        <f>IFERROR(__xludf.DUMMYFUNCTION("""COMPUTED_VALUE"""),"old_page")</f>
        <v>old_page</v>
      </c>
      <c r="E4060" s="1">
        <f>IFERROR(__xludf.DUMMYFUNCTION("""COMPUTED_VALUE"""),1.0)</f>
        <v>1</v>
      </c>
    </row>
    <row r="4061">
      <c r="A4061" s="1">
        <f>IFERROR(__xludf.DUMMYFUNCTION("""COMPUTED_VALUE"""),765233.0)</f>
        <v>765233</v>
      </c>
      <c r="B4061" s="2">
        <f>IFERROR(__xludf.DUMMYFUNCTION("""COMPUTED_VALUE"""),42755.323484057255)</f>
        <v>42755.32348</v>
      </c>
      <c r="C4061" s="1" t="str">
        <f>IFERROR(__xludf.DUMMYFUNCTION("""COMPUTED_VALUE"""),"treatment")</f>
        <v>treatment</v>
      </c>
      <c r="D4061" s="1" t="str">
        <f>IFERROR(__xludf.DUMMYFUNCTION("""COMPUTED_VALUE"""),"new_page")</f>
        <v>new_page</v>
      </c>
      <c r="E4061" s="1">
        <f>IFERROR(__xludf.DUMMYFUNCTION("""COMPUTED_VALUE"""),0.0)</f>
        <v>0</v>
      </c>
    </row>
    <row r="4062">
      <c r="A4062" s="1">
        <f>IFERROR(__xludf.DUMMYFUNCTION("""COMPUTED_VALUE"""),894351.0)</f>
        <v>894351</v>
      </c>
      <c r="B4062" s="2">
        <f>IFERROR(__xludf.DUMMYFUNCTION("""COMPUTED_VALUE"""),42748.52284975654)</f>
        <v>42748.52285</v>
      </c>
      <c r="C4062" s="1" t="str">
        <f>IFERROR(__xludf.DUMMYFUNCTION("""COMPUTED_VALUE"""),"treatment")</f>
        <v>treatment</v>
      </c>
      <c r="D4062" s="1" t="str">
        <f>IFERROR(__xludf.DUMMYFUNCTION("""COMPUTED_VALUE"""),"new_page")</f>
        <v>new_page</v>
      </c>
      <c r="E4062" s="1">
        <f>IFERROR(__xludf.DUMMYFUNCTION("""COMPUTED_VALUE"""),0.0)</f>
        <v>0</v>
      </c>
    </row>
    <row r="4063">
      <c r="A4063" s="1">
        <f>IFERROR(__xludf.DUMMYFUNCTION("""COMPUTED_VALUE"""),809363.0)</f>
        <v>809363</v>
      </c>
      <c r="B4063" s="2">
        <f>IFERROR(__xludf.DUMMYFUNCTION("""COMPUTED_VALUE"""),42744.59404212033)</f>
        <v>42744.59404</v>
      </c>
      <c r="C4063" s="1" t="str">
        <f>IFERROR(__xludf.DUMMYFUNCTION("""COMPUTED_VALUE"""),"treatment")</f>
        <v>treatment</v>
      </c>
      <c r="D4063" s="1" t="str">
        <f>IFERROR(__xludf.DUMMYFUNCTION("""COMPUTED_VALUE"""),"new_page")</f>
        <v>new_page</v>
      </c>
      <c r="E4063" s="1">
        <f>IFERROR(__xludf.DUMMYFUNCTION("""COMPUTED_VALUE"""),0.0)</f>
        <v>0</v>
      </c>
    </row>
    <row r="4064">
      <c r="A4064" s="1">
        <f>IFERROR(__xludf.DUMMYFUNCTION("""COMPUTED_VALUE"""),749349.0)</f>
        <v>749349</v>
      </c>
      <c r="B4064" s="2">
        <f>IFERROR(__xludf.DUMMYFUNCTION("""COMPUTED_VALUE"""),42749.92386688303)</f>
        <v>42749.92387</v>
      </c>
      <c r="C4064" s="1" t="str">
        <f>IFERROR(__xludf.DUMMYFUNCTION("""COMPUTED_VALUE"""),"treatment")</f>
        <v>treatment</v>
      </c>
      <c r="D4064" s="1" t="str">
        <f>IFERROR(__xludf.DUMMYFUNCTION("""COMPUTED_VALUE"""),"new_page")</f>
        <v>new_page</v>
      </c>
      <c r="E4064" s="1">
        <f>IFERROR(__xludf.DUMMYFUNCTION("""COMPUTED_VALUE"""),0.0)</f>
        <v>0</v>
      </c>
    </row>
    <row r="4065">
      <c r="A4065" s="1">
        <f>IFERROR(__xludf.DUMMYFUNCTION("""COMPUTED_VALUE"""),638419.0)</f>
        <v>638419</v>
      </c>
      <c r="B4065" s="2">
        <f>IFERROR(__xludf.DUMMYFUNCTION("""COMPUTED_VALUE"""),42752.65085077613)</f>
        <v>42752.65085</v>
      </c>
      <c r="C4065" s="1" t="str">
        <f>IFERROR(__xludf.DUMMYFUNCTION("""COMPUTED_VALUE"""),"control")</f>
        <v>control</v>
      </c>
      <c r="D4065" s="1" t="str">
        <f>IFERROR(__xludf.DUMMYFUNCTION("""COMPUTED_VALUE"""),"old_page")</f>
        <v>old_page</v>
      </c>
      <c r="E4065" s="1">
        <f>IFERROR(__xludf.DUMMYFUNCTION("""COMPUTED_VALUE"""),0.0)</f>
        <v>0</v>
      </c>
    </row>
    <row r="4066">
      <c r="A4066" s="1">
        <f>IFERROR(__xludf.DUMMYFUNCTION("""COMPUTED_VALUE"""),756796.0)</f>
        <v>756796</v>
      </c>
      <c r="B4066" s="2">
        <f>IFERROR(__xludf.DUMMYFUNCTION("""COMPUTED_VALUE"""),42739.92160994149)</f>
        <v>42739.92161</v>
      </c>
      <c r="C4066" s="1" t="str">
        <f>IFERROR(__xludf.DUMMYFUNCTION("""COMPUTED_VALUE"""),"treatment")</f>
        <v>treatment</v>
      </c>
      <c r="D4066" s="1" t="str">
        <f>IFERROR(__xludf.DUMMYFUNCTION("""COMPUTED_VALUE"""),"new_page")</f>
        <v>new_page</v>
      </c>
      <c r="E4066" s="1">
        <f>IFERROR(__xludf.DUMMYFUNCTION("""COMPUTED_VALUE"""),0.0)</f>
        <v>0</v>
      </c>
    </row>
    <row r="4067">
      <c r="A4067" s="1">
        <f>IFERROR(__xludf.DUMMYFUNCTION("""COMPUTED_VALUE"""),926984.0)</f>
        <v>926984</v>
      </c>
      <c r="B4067" s="2">
        <f>IFERROR(__xludf.DUMMYFUNCTION("""COMPUTED_VALUE"""),42757.49210245853)</f>
        <v>42757.4921</v>
      </c>
      <c r="C4067" s="1" t="str">
        <f>IFERROR(__xludf.DUMMYFUNCTION("""COMPUTED_VALUE"""),"treatment")</f>
        <v>treatment</v>
      </c>
      <c r="D4067" s="1" t="str">
        <f>IFERROR(__xludf.DUMMYFUNCTION("""COMPUTED_VALUE"""),"new_page")</f>
        <v>new_page</v>
      </c>
      <c r="E4067" s="1">
        <f>IFERROR(__xludf.DUMMYFUNCTION("""COMPUTED_VALUE"""),0.0)</f>
        <v>0</v>
      </c>
    </row>
    <row r="4068">
      <c r="A4068" s="1">
        <f>IFERROR(__xludf.DUMMYFUNCTION("""COMPUTED_VALUE"""),919383.0)</f>
        <v>919383</v>
      </c>
      <c r="B4068" s="2">
        <f>IFERROR(__xludf.DUMMYFUNCTION("""COMPUTED_VALUE"""),42752.53989305208)</f>
        <v>42752.53989</v>
      </c>
      <c r="C4068" s="1" t="str">
        <f>IFERROR(__xludf.DUMMYFUNCTION("""COMPUTED_VALUE"""),"treatment")</f>
        <v>treatment</v>
      </c>
      <c r="D4068" s="1" t="str">
        <f>IFERROR(__xludf.DUMMYFUNCTION("""COMPUTED_VALUE"""),"new_page")</f>
        <v>new_page</v>
      </c>
      <c r="E4068" s="1">
        <f>IFERROR(__xludf.DUMMYFUNCTION("""COMPUTED_VALUE"""),0.0)</f>
        <v>0</v>
      </c>
    </row>
    <row r="4069">
      <c r="A4069" s="1">
        <f>IFERROR(__xludf.DUMMYFUNCTION("""COMPUTED_VALUE"""),932873.0)</f>
        <v>932873</v>
      </c>
      <c r="B4069" s="2">
        <f>IFERROR(__xludf.DUMMYFUNCTION("""COMPUTED_VALUE"""),42746.989475353286)</f>
        <v>42746.98948</v>
      </c>
      <c r="C4069" s="1" t="str">
        <f>IFERROR(__xludf.DUMMYFUNCTION("""COMPUTED_VALUE"""),"treatment")</f>
        <v>treatment</v>
      </c>
      <c r="D4069" s="1" t="str">
        <f>IFERROR(__xludf.DUMMYFUNCTION("""COMPUTED_VALUE"""),"new_page")</f>
        <v>new_page</v>
      </c>
      <c r="E4069" s="1">
        <f>IFERROR(__xludf.DUMMYFUNCTION("""COMPUTED_VALUE"""),0.0)</f>
        <v>0</v>
      </c>
    </row>
    <row r="4070">
      <c r="A4070" s="1">
        <f>IFERROR(__xludf.DUMMYFUNCTION("""COMPUTED_VALUE"""),754188.0)</f>
        <v>754188</v>
      </c>
      <c r="B4070" s="2">
        <f>IFERROR(__xludf.DUMMYFUNCTION("""COMPUTED_VALUE"""),42757.79834792103)</f>
        <v>42757.79835</v>
      </c>
      <c r="C4070" s="1" t="str">
        <f>IFERROR(__xludf.DUMMYFUNCTION("""COMPUTED_VALUE"""),"treatment")</f>
        <v>treatment</v>
      </c>
      <c r="D4070" s="1" t="str">
        <f>IFERROR(__xludf.DUMMYFUNCTION("""COMPUTED_VALUE"""),"new_page")</f>
        <v>new_page</v>
      </c>
      <c r="E4070" s="1">
        <f>IFERROR(__xludf.DUMMYFUNCTION("""COMPUTED_VALUE"""),0.0)</f>
        <v>0</v>
      </c>
    </row>
    <row r="4071">
      <c r="A4071" s="1">
        <f>IFERROR(__xludf.DUMMYFUNCTION("""COMPUTED_VALUE"""),695054.0)</f>
        <v>695054</v>
      </c>
      <c r="B4071" s="2">
        <f>IFERROR(__xludf.DUMMYFUNCTION("""COMPUTED_VALUE"""),42742.50882790528)</f>
        <v>42742.50883</v>
      </c>
      <c r="C4071" s="1" t="str">
        <f>IFERROR(__xludf.DUMMYFUNCTION("""COMPUTED_VALUE"""),"treatment")</f>
        <v>treatment</v>
      </c>
      <c r="D4071" s="1" t="str">
        <f>IFERROR(__xludf.DUMMYFUNCTION("""COMPUTED_VALUE"""),"new_page")</f>
        <v>new_page</v>
      </c>
      <c r="E4071" s="1">
        <f>IFERROR(__xludf.DUMMYFUNCTION("""COMPUTED_VALUE"""),0.0)</f>
        <v>0</v>
      </c>
    </row>
    <row r="4072">
      <c r="A4072" s="1">
        <f>IFERROR(__xludf.DUMMYFUNCTION("""COMPUTED_VALUE"""),845989.0)</f>
        <v>845989</v>
      </c>
      <c r="B4072" s="2">
        <f>IFERROR(__xludf.DUMMYFUNCTION("""COMPUTED_VALUE"""),42741.76674745373)</f>
        <v>42741.76675</v>
      </c>
      <c r="C4072" s="1" t="str">
        <f>IFERROR(__xludf.DUMMYFUNCTION("""COMPUTED_VALUE"""),"control")</f>
        <v>control</v>
      </c>
      <c r="D4072" s="1" t="str">
        <f>IFERROR(__xludf.DUMMYFUNCTION("""COMPUTED_VALUE"""),"old_page")</f>
        <v>old_page</v>
      </c>
      <c r="E4072" s="1">
        <f>IFERROR(__xludf.DUMMYFUNCTION("""COMPUTED_VALUE"""),0.0)</f>
        <v>0</v>
      </c>
    </row>
    <row r="4073">
      <c r="A4073" s="1">
        <f>IFERROR(__xludf.DUMMYFUNCTION("""COMPUTED_VALUE"""),789114.0)</f>
        <v>789114</v>
      </c>
      <c r="B4073" s="2">
        <f>IFERROR(__xludf.DUMMYFUNCTION("""COMPUTED_VALUE"""),42749.851607041055)</f>
        <v>42749.85161</v>
      </c>
      <c r="C4073" s="1" t="str">
        <f>IFERROR(__xludf.DUMMYFUNCTION("""COMPUTED_VALUE"""),"treatment")</f>
        <v>treatment</v>
      </c>
      <c r="D4073" s="1" t="str">
        <f>IFERROR(__xludf.DUMMYFUNCTION("""COMPUTED_VALUE"""),"new_page")</f>
        <v>new_page</v>
      </c>
      <c r="E4073" s="1">
        <f>IFERROR(__xludf.DUMMYFUNCTION("""COMPUTED_VALUE"""),0.0)</f>
        <v>0</v>
      </c>
    </row>
    <row r="4074">
      <c r="A4074" s="1">
        <f>IFERROR(__xludf.DUMMYFUNCTION("""COMPUTED_VALUE"""),865968.0)</f>
        <v>865968</v>
      </c>
      <c r="B4074" s="2">
        <f>IFERROR(__xludf.DUMMYFUNCTION("""COMPUTED_VALUE"""),42744.176765427546)</f>
        <v>42744.17677</v>
      </c>
      <c r="C4074" s="1" t="str">
        <f>IFERROR(__xludf.DUMMYFUNCTION("""COMPUTED_VALUE"""),"treatment")</f>
        <v>treatment</v>
      </c>
      <c r="D4074" s="1" t="str">
        <f>IFERROR(__xludf.DUMMYFUNCTION("""COMPUTED_VALUE"""),"new_page")</f>
        <v>new_page</v>
      </c>
      <c r="E4074" s="1">
        <f>IFERROR(__xludf.DUMMYFUNCTION("""COMPUTED_VALUE"""),0.0)</f>
        <v>0</v>
      </c>
    </row>
    <row r="4075">
      <c r="A4075" s="1">
        <f>IFERROR(__xludf.DUMMYFUNCTION("""COMPUTED_VALUE"""),797322.0)</f>
        <v>797322</v>
      </c>
      <c r="B4075" s="2">
        <f>IFERROR(__xludf.DUMMYFUNCTION("""COMPUTED_VALUE"""),42752.25015465938)</f>
        <v>42752.25015</v>
      </c>
      <c r="C4075" s="1" t="str">
        <f>IFERROR(__xludf.DUMMYFUNCTION("""COMPUTED_VALUE"""),"treatment")</f>
        <v>treatment</v>
      </c>
      <c r="D4075" s="1" t="str">
        <f>IFERROR(__xludf.DUMMYFUNCTION("""COMPUTED_VALUE"""),"new_page")</f>
        <v>new_page</v>
      </c>
      <c r="E4075" s="1">
        <f>IFERROR(__xludf.DUMMYFUNCTION("""COMPUTED_VALUE"""),0.0)</f>
        <v>0</v>
      </c>
    </row>
    <row r="4076">
      <c r="A4076" s="1">
        <f>IFERROR(__xludf.DUMMYFUNCTION("""COMPUTED_VALUE"""),768200.0)</f>
        <v>768200</v>
      </c>
      <c r="B4076" s="2">
        <f>IFERROR(__xludf.DUMMYFUNCTION("""COMPUTED_VALUE"""),42756.658845102625)</f>
        <v>42756.65885</v>
      </c>
      <c r="C4076" s="1" t="str">
        <f>IFERROR(__xludf.DUMMYFUNCTION("""COMPUTED_VALUE"""),"treatment")</f>
        <v>treatment</v>
      </c>
      <c r="D4076" s="1" t="str">
        <f>IFERROR(__xludf.DUMMYFUNCTION("""COMPUTED_VALUE"""),"old_page")</f>
        <v>old_page</v>
      </c>
      <c r="E4076" s="1">
        <f>IFERROR(__xludf.DUMMYFUNCTION("""COMPUTED_VALUE"""),0.0)</f>
        <v>0</v>
      </c>
    </row>
    <row r="4077">
      <c r="A4077" s="1">
        <f>IFERROR(__xludf.DUMMYFUNCTION("""COMPUTED_VALUE"""),820906.0)</f>
        <v>820906</v>
      </c>
      <c r="B4077" s="2">
        <f>IFERROR(__xludf.DUMMYFUNCTION("""COMPUTED_VALUE"""),42742.901433850275)</f>
        <v>42742.90143</v>
      </c>
      <c r="C4077" s="1" t="str">
        <f>IFERROR(__xludf.DUMMYFUNCTION("""COMPUTED_VALUE"""),"treatment")</f>
        <v>treatment</v>
      </c>
      <c r="D4077" s="1" t="str">
        <f>IFERROR(__xludf.DUMMYFUNCTION("""COMPUTED_VALUE"""),"new_page")</f>
        <v>new_page</v>
      </c>
      <c r="E4077" s="1">
        <f>IFERROR(__xludf.DUMMYFUNCTION("""COMPUTED_VALUE"""),1.0)</f>
        <v>1</v>
      </c>
    </row>
    <row r="4078">
      <c r="A4078" s="1">
        <f>IFERROR(__xludf.DUMMYFUNCTION("""COMPUTED_VALUE"""),658377.0)</f>
        <v>658377</v>
      </c>
      <c r="B4078" s="2">
        <f>IFERROR(__xludf.DUMMYFUNCTION("""COMPUTED_VALUE"""),42738.19689411197)</f>
        <v>42738.19689</v>
      </c>
      <c r="C4078" s="1" t="str">
        <f>IFERROR(__xludf.DUMMYFUNCTION("""COMPUTED_VALUE"""),"control")</f>
        <v>control</v>
      </c>
      <c r="D4078" s="1" t="str">
        <f>IFERROR(__xludf.DUMMYFUNCTION("""COMPUTED_VALUE"""),"old_page")</f>
        <v>old_page</v>
      </c>
      <c r="E4078" s="1">
        <f>IFERROR(__xludf.DUMMYFUNCTION("""COMPUTED_VALUE"""),0.0)</f>
        <v>0</v>
      </c>
    </row>
    <row r="4079">
      <c r="A4079" s="1">
        <f>IFERROR(__xludf.DUMMYFUNCTION("""COMPUTED_VALUE"""),865054.0)</f>
        <v>865054</v>
      </c>
      <c r="B4079" s="2">
        <f>IFERROR(__xludf.DUMMYFUNCTION("""COMPUTED_VALUE"""),42749.32666603288)</f>
        <v>42749.32667</v>
      </c>
      <c r="C4079" s="1" t="str">
        <f>IFERROR(__xludf.DUMMYFUNCTION("""COMPUTED_VALUE"""),"treatment")</f>
        <v>treatment</v>
      </c>
      <c r="D4079" s="1" t="str">
        <f>IFERROR(__xludf.DUMMYFUNCTION("""COMPUTED_VALUE"""),"new_page")</f>
        <v>new_page</v>
      </c>
      <c r="E4079" s="1">
        <f>IFERROR(__xludf.DUMMYFUNCTION("""COMPUTED_VALUE"""),0.0)</f>
        <v>0</v>
      </c>
    </row>
    <row r="4080">
      <c r="A4080" s="1">
        <f>IFERROR(__xludf.DUMMYFUNCTION("""COMPUTED_VALUE"""),664670.0)</f>
        <v>664670</v>
      </c>
      <c r="B4080" s="2">
        <f>IFERROR(__xludf.DUMMYFUNCTION("""COMPUTED_VALUE"""),42754.01733502223)</f>
        <v>42754.01734</v>
      </c>
      <c r="C4080" s="1" t="str">
        <f>IFERROR(__xludf.DUMMYFUNCTION("""COMPUTED_VALUE"""),"treatment")</f>
        <v>treatment</v>
      </c>
      <c r="D4080" s="1" t="str">
        <f>IFERROR(__xludf.DUMMYFUNCTION("""COMPUTED_VALUE"""),"new_page")</f>
        <v>new_page</v>
      </c>
      <c r="E4080" s="1">
        <f>IFERROR(__xludf.DUMMYFUNCTION("""COMPUTED_VALUE"""),0.0)</f>
        <v>0</v>
      </c>
    </row>
    <row r="4081">
      <c r="A4081" s="1">
        <f>IFERROR(__xludf.DUMMYFUNCTION("""COMPUTED_VALUE"""),878519.0)</f>
        <v>878519</v>
      </c>
      <c r="B4081" s="2">
        <f>IFERROR(__xludf.DUMMYFUNCTION("""COMPUTED_VALUE"""),42758.928095499075)</f>
        <v>42758.9281</v>
      </c>
      <c r="C4081" s="1" t="str">
        <f>IFERROR(__xludf.DUMMYFUNCTION("""COMPUTED_VALUE"""),"control")</f>
        <v>control</v>
      </c>
      <c r="D4081" s="1" t="str">
        <f>IFERROR(__xludf.DUMMYFUNCTION("""COMPUTED_VALUE"""),"old_page")</f>
        <v>old_page</v>
      </c>
      <c r="E4081" s="1">
        <f>IFERROR(__xludf.DUMMYFUNCTION("""COMPUTED_VALUE"""),0.0)</f>
        <v>0</v>
      </c>
    </row>
    <row r="4082">
      <c r="A4082" s="1">
        <f>IFERROR(__xludf.DUMMYFUNCTION("""COMPUTED_VALUE"""),736627.0)</f>
        <v>736627</v>
      </c>
      <c r="B4082" s="2">
        <f>IFERROR(__xludf.DUMMYFUNCTION("""COMPUTED_VALUE"""),42755.053618535254)</f>
        <v>42755.05362</v>
      </c>
      <c r="C4082" s="1" t="str">
        <f>IFERROR(__xludf.DUMMYFUNCTION("""COMPUTED_VALUE"""),"treatment")</f>
        <v>treatment</v>
      </c>
      <c r="D4082" s="1" t="str">
        <f>IFERROR(__xludf.DUMMYFUNCTION("""COMPUTED_VALUE"""),"new_page")</f>
        <v>new_page</v>
      </c>
      <c r="E4082" s="1">
        <f>IFERROR(__xludf.DUMMYFUNCTION("""COMPUTED_VALUE"""),0.0)</f>
        <v>0</v>
      </c>
    </row>
    <row r="4083">
      <c r="A4083" s="1">
        <f>IFERROR(__xludf.DUMMYFUNCTION("""COMPUTED_VALUE"""),740197.0)</f>
        <v>740197</v>
      </c>
      <c r="B4083" s="2">
        <f>IFERROR(__xludf.DUMMYFUNCTION("""COMPUTED_VALUE"""),42751.097121428844)</f>
        <v>42751.09712</v>
      </c>
      <c r="C4083" s="1" t="str">
        <f>IFERROR(__xludf.DUMMYFUNCTION("""COMPUTED_VALUE"""),"treatment")</f>
        <v>treatment</v>
      </c>
      <c r="D4083" s="1" t="str">
        <f>IFERROR(__xludf.DUMMYFUNCTION("""COMPUTED_VALUE"""),"new_page")</f>
        <v>new_page</v>
      </c>
      <c r="E4083" s="1">
        <f>IFERROR(__xludf.DUMMYFUNCTION("""COMPUTED_VALUE"""),0.0)</f>
        <v>0</v>
      </c>
    </row>
    <row r="4084">
      <c r="A4084" s="1">
        <f>IFERROR(__xludf.DUMMYFUNCTION("""COMPUTED_VALUE"""),735817.0)</f>
        <v>735817</v>
      </c>
      <c r="B4084" s="2">
        <f>IFERROR(__xludf.DUMMYFUNCTION("""COMPUTED_VALUE"""),42746.79477964758)</f>
        <v>42746.79478</v>
      </c>
      <c r="C4084" s="1" t="str">
        <f>IFERROR(__xludf.DUMMYFUNCTION("""COMPUTED_VALUE"""),"treatment")</f>
        <v>treatment</v>
      </c>
      <c r="D4084" s="1" t="str">
        <f>IFERROR(__xludf.DUMMYFUNCTION("""COMPUTED_VALUE"""),"new_page")</f>
        <v>new_page</v>
      </c>
      <c r="E4084" s="1">
        <f>IFERROR(__xludf.DUMMYFUNCTION("""COMPUTED_VALUE"""),0.0)</f>
        <v>0</v>
      </c>
    </row>
    <row r="4085">
      <c r="A4085" s="1">
        <f>IFERROR(__xludf.DUMMYFUNCTION("""COMPUTED_VALUE"""),675883.0)</f>
        <v>675883</v>
      </c>
      <c r="B4085" s="2">
        <f>IFERROR(__xludf.DUMMYFUNCTION("""COMPUTED_VALUE"""),42748.89602754235)</f>
        <v>42748.89603</v>
      </c>
      <c r="C4085" s="1" t="str">
        <f>IFERROR(__xludf.DUMMYFUNCTION("""COMPUTED_VALUE"""),"control")</f>
        <v>control</v>
      </c>
      <c r="D4085" s="1" t="str">
        <f>IFERROR(__xludf.DUMMYFUNCTION("""COMPUTED_VALUE"""),"old_page")</f>
        <v>old_page</v>
      </c>
      <c r="E4085" s="1">
        <f>IFERROR(__xludf.DUMMYFUNCTION("""COMPUTED_VALUE"""),0.0)</f>
        <v>0</v>
      </c>
    </row>
    <row r="4086">
      <c r="A4086" s="1">
        <f>IFERROR(__xludf.DUMMYFUNCTION("""COMPUTED_VALUE"""),776391.0)</f>
        <v>776391</v>
      </c>
      <c r="B4086" s="2">
        <f>IFERROR(__xludf.DUMMYFUNCTION("""COMPUTED_VALUE"""),42758.15346401711)</f>
        <v>42758.15346</v>
      </c>
      <c r="C4086" s="1" t="str">
        <f>IFERROR(__xludf.DUMMYFUNCTION("""COMPUTED_VALUE"""),"control")</f>
        <v>control</v>
      </c>
      <c r="D4086" s="1" t="str">
        <f>IFERROR(__xludf.DUMMYFUNCTION("""COMPUTED_VALUE"""),"old_page")</f>
        <v>old_page</v>
      </c>
      <c r="E4086" s="1">
        <f>IFERROR(__xludf.DUMMYFUNCTION("""COMPUTED_VALUE"""),0.0)</f>
        <v>0</v>
      </c>
    </row>
    <row r="4087">
      <c r="A4087" s="1">
        <f>IFERROR(__xludf.DUMMYFUNCTION("""COMPUTED_VALUE"""),789102.0)</f>
        <v>789102</v>
      </c>
      <c r="B4087" s="2">
        <f>IFERROR(__xludf.DUMMYFUNCTION("""COMPUTED_VALUE"""),42747.81166425937)</f>
        <v>42747.81166</v>
      </c>
      <c r="C4087" s="1" t="str">
        <f>IFERROR(__xludf.DUMMYFUNCTION("""COMPUTED_VALUE"""),"control")</f>
        <v>control</v>
      </c>
      <c r="D4087" s="1" t="str">
        <f>IFERROR(__xludf.DUMMYFUNCTION("""COMPUTED_VALUE"""),"old_page")</f>
        <v>old_page</v>
      </c>
      <c r="E4087" s="1">
        <f>IFERROR(__xludf.DUMMYFUNCTION("""COMPUTED_VALUE"""),0.0)</f>
        <v>0</v>
      </c>
    </row>
    <row r="4088">
      <c r="A4088" s="1">
        <f>IFERROR(__xludf.DUMMYFUNCTION("""COMPUTED_VALUE"""),768499.0)</f>
        <v>768499</v>
      </c>
      <c r="B4088" s="2">
        <f>IFERROR(__xludf.DUMMYFUNCTION("""COMPUTED_VALUE"""),42748.70619184692)</f>
        <v>42748.70619</v>
      </c>
      <c r="C4088" s="1" t="str">
        <f>IFERROR(__xludf.DUMMYFUNCTION("""COMPUTED_VALUE"""),"treatment")</f>
        <v>treatment</v>
      </c>
      <c r="D4088" s="1" t="str">
        <f>IFERROR(__xludf.DUMMYFUNCTION("""COMPUTED_VALUE"""),"new_page")</f>
        <v>new_page</v>
      </c>
      <c r="E4088" s="1">
        <f>IFERROR(__xludf.DUMMYFUNCTION("""COMPUTED_VALUE"""),0.0)</f>
        <v>0</v>
      </c>
    </row>
    <row r="4089">
      <c r="A4089" s="1">
        <f>IFERROR(__xludf.DUMMYFUNCTION("""COMPUTED_VALUE"""),833011.0)</f>
        <v>833011</v>
      </c>
      <c r="B4089" s="2">
        <f>IFERROR(__xludf.DUMMYFUNCTION("""COMPUTED_VALUE"""),42739.60629484617)</f>
        <v>42739.60629</v>
      </c>
      <c r="C4089" s="1" t="str">
        <f>IFERROR(__xludf.DUMMYFUNCTION("""COMPUTED_VALUE"""),"control")</f>
        <v>control</v>
      </c>
      <c r="D4089" s="1" t="str">
        <f>IFERROR(__xludf.DUMMYFUNCTION("""COMPUTED_VALUE"""),"old_page")</f>
        <v>old_page</v>
      </c>
      <c r="E4089" s="1">
        <f>IFERROR(__xludf.DUMMYFUNCTION("""COMPUTED_VALUE"""),0.0)</f>
        <v>0</v>
      </c>
    </row>
    <row r="4090">
      <c r="A4090" s="1">
        <f>IFERROR(__xludf.DUMMYFUNCTION("""COMPUTED_VALUE"""),655854.0)</f>
        <v>655854</v>
      </c>
      <c r="B4090" s="2">
        <f>IFERROR(__xludf.DUMMYFUNCTION("""COMPUTED_VALUE"""),42759.04717164313)</f>
        <v>42759.04717</v>
      </c>
      <c r="C4090" s="1" t="str">
        <f>IFERROR(__xludf.DUMMYFUNCTION("""COMPUTED_VALUE"""),"control")</f>
        <v>control</v>
      </c>
      <c r="D4090" s="1" t="str">
        <f>IFERROR(__xludf.DUMMYFUNCTION("""COMPUTED_VALUE"""),"old_page")</f>
        <v>old_page</v>
      </c>
      <c r="E4090" s="1">
        <f>IFERROR(__xludf.DUMMYFUNCTION("""COMPUTED_VALUE"""),0.0)</f>
        <v>0</v>
      </c>
    </row>
    <row r="4091">
      <c r="A4091" s="1">
        <f>IFERROR(__xludf.DUMMYFUNCTION("""COMPUTED_VALUE"""),649304.0)</f>
        <v>649304</v>
      </c>
      <c r="B4091" s="2">
        <f>IFERROR(__xludf.DUMMYFUNCTION("""COMPUTED_VALUE"""),42753.54346036202)</f>
        <v>42753.54346</v>
      </c>
      <c r="C4091" s="1" t="str">
        <f>IFERROR(__xludf.DUMMYFUNCTION("""COMPUTED_VALUE"""),"treatment")</f>
        <v>treatment</v>
      </c>
      <c r="D4091" s="1" t="str">
        <f>IFERROR(__xludf.DUMMYFUNCTION("""COMPUTED_VALUE"""),"new_page")</f>
        <v>new_page</v>
      </c>
      <c r="E4091" s="1">
        <f>IFERROR(__xludf.DUMMYFUNCTION("""COMPUTED_VALUE"""),0.0)</f>
        <v>0</v>
      </c>
    </row>
    <row r="4092">
      <c r="A4092" s="1">
        <f>IFERROR(__xludf.DUMMYFUNCTION("""COMPUTED_VALUE"""),770095.0)</f>
        <v>770095</v>
      </c>
      <c r="B4092" s="2">
        <f>IFERROR(__xludf.DUMMYFUNCTION("""COMPUTED_VALUE"""),42746.859360671595)</f>
        <v>42746.85936</v>
      </c>
      <c r="C4092" s="1" t="str">
        <f>IFERROR(__xludf.DUMMYFUNCTION("""COMPUTED_VALUE"""),"control")</f>
        <v>control</v>
      </c>
      <c r="D4092" s="1" t="str">
        <f>IFERROR(__xludf.DUMMYFUNCTION("""COMPUTED_VALUE"""),"old_page")</f>
        <v>old_page</v>
      </c>
      <c r="E4092" s="1">
        <f>IFERROR(__xludf.DUMMYFUNCTION("""COMPUTED_VALUE"""),0.0)</f>
        <v>0</v>
      </c>
    </row>
    <row r="4093">
      <c r="A4093" s="1">
        <f>IFERROR(__xludf.DUMMYFUNCTION("""COMPUTED_VALUE"""),858041.0)</f>
        <v>858041</v>
      </c>
      <c r="B4093" s="2">
        <f>IFERROR(__xludf.DUMMYFUNCTION("""COMPUTED_VALUE"""),42750.14291159416)</f>
        <v>42750.14291</v>
      </c>
      <c r="C4093" s="1" t="str">
        <f>IFERROR(__xludf.DUMMYFUNCTION("""COMPUTED_VALUE"""),"control")</f>
        <v>control</v>
      </c>
      <c r="D4093" s="1" t="str">
        <f>IFERROR(__xludf.DUMMYFUNCTION("""COMPUTED_VALUE"""),"old_page")</f>
        <v>old_page</v>
      </c>
      <c r="E4093" s="1">
        <f>IFERROR(__xludf.DUMMYFUNCTION("""COMPUTED_VALUE"""),0.0)</f>
        <v>0</v>
      </c>
    </row>
    <row r="4094">
      <c r="A4094" s="1">
        <f>IFERROR(__xludf.DUMMYFUNCTION("""COMPUTED_VALUE"""),930550.0)</f>
        <v>930550</v>
      </c>
      <c r="B4094" s="2">
        <f>IFERROR(__xludf.DUMMYFUNCTION("""COMPUTED_VALUE"""),42752.00615279957)</f>
        <v>42752.00615</v>
      </c>
      <c r="C4094" s="1" t="str">
        <f>IFERROR(__xludf.DUMMYFUNCTION("""COMPUTED_VALUE"""),"treatment")</f>
        <v>treatment</v>
      </c>
      <c r="D4094" s="1" t="str">
        <f>IFERROR(__xludf.DUMMYFUNCTION("""COMPUTED_VALUE"""),"new_page")</f>
        <v>new_page</v>
      </c>
      <c r="E4094" s="1">
        <f>IFERROR(__xludf.DUMMYFUNCTION("""COMPUTED_VALUE"""),0.0)</f>
        <v>0</v>
      </c>
    </row>
    <row r="4095">
      <c r="A4095" s="1">
        <f>IFERROR(__xludf.DUMMYFUNCTION("""COMPUTED_VALUE"""),786137.0)</f>
        <v>786137</v>
      </c>
      <c r="B4095" s="2">
        <f>IFERROR(__xludf.DUMMYFUNCTION("""COMPUTED_VALUE"""),42742.981903217464)</f>
        <v>42742.9819</v>
      </c>
      <c r="C4095" s="1" t="str">
        <f>IFERROR(__xludf.DUMMYFUNCTION("""COMPUTED_VALUE"""),"treatment")</f>
        <v>treatment</v>
      </c>
      <c r="D4095" s="1" t="str">
        <f>IFERROR(__xludf.DUMMYFUNCTION("""COMPUTED_VALUE"""),"new_page")</f>
        <v>new_page</v>
      </c>
      <c r="E4095" s="1">
        <f>IFERROR(__xludf.DUMMYFUNCTION("""COMPUTED_VALUE"""),0.0)</f>
        <v>0</v>
      </c>
    </row>
    <row r="4096">
      <c r="A4096" s="1">
        <f>IFERROR(__xludf.DUMMYFUNCTION("""COMPUTED_VALUE"""),737934.0)</f>
        <v>737934</v>
      </c>
      <c r="B4096" s="2">
        <f>IFERROR(__xludf.DUMMYFUNCTION("""COMPUTED_VALUE"""),42745.180063081076)</f>
        <v>42745.18006</v>
      </c>
      <c r="C4096" s="1" t="str">
        <f>IFERROR(__xludf.DUMMYFUNCTION("""COMPUTED_VALUE"""),"control")</f>
        <v>control</v>
      </c>
      <c r="D4096" s="1" t="str">
        <f>IFERROR(__xludf.DUMMYFUNCTION("""COMPUTED_VALUE"""),"old_page")</f>
        <v>old_page</v>
      </c>
      <c r="E4096" s="1">
        <f>IFERROR(__xludf.DUMMYFUNCTION("""COMPUTED_VALUE"""),0.0)</f>
        <v>0</v>
      </c>
    </row>
    <row r="4097">
      <c r="A4097" s="1">
        <f>IFERROR(__xludf.DUMMYFUNCTION("""COMPUTED_VALUE"""),911261.0)</f>
        <v>911261</v>
      </c>
      <c r="B4097" s="2">
        <f>IFERROR(__xludf.DUMMYFUNCTION("""COMPUTED_VALUE"""),42749.05790694526)</f>
        <v>42749.05791</v>
      </c>
      <c r="C4097" s="1" t="str">
        <f>IFERROR(__xludf.DUMMYFUNCTION("""COMPUTED_VALUE"""),"control")</f>
        <v>control</v>
      </c>
      <c r="D4097" s="1" t="str">
        <f>IFERROR(__xludf.DUMMYFUNCTION("""COMPUTED_VALUE"""),"old_page")</f>
        <v>old_page</v>
      </c>
      <c r="E4097" s="1">
        <f>IFERROR(__xludf.DUMMYFUNCTION("""COMPUTED_VALUE"""),0.0)</f>
        <v>0</v>
      </c>
    </row>
    <row r="4098">
      <c r="A4098" s="1">
        <f>IFERROR(__xludf.DUMMYFUNCTION("""COMPUTED_VALUE"""),672338.0)</f>
        <v>672338</v>
      </c>
      <c r="B4098" s="2">
        <f>IFERROR(__xludf.DUMMYFUNCTION("""COMPUTED_VALUE"""),42752.76245549865)</f>
        <v>42752.76246</v>
      </c>
      <c r="C4098" s="1" t="str">
        <f>IFERROR(__xludf.DUMMYFUNCTION("""COMPUTED_VALUE"""),"control")</f>
        <v>control</v>
      </c>
      <c r="D4098" s="1" t="str">
        <f>IFERROR(__xludf.DUMMYFUNCTION("""COMPUTED_VALUE"""),"old_page")</f>
        <v>old_page</v>
      </c>
      <c r="E4098" s="1">
        <f>IFERROR(__xludf.DUMMYFUNCTION("""COMPUTED_VALUE"""),1.0)</f>
        <v>1</v>
      </c>
    </row>
    <row r="4099">
      <c r="A4099" s="1">
        <f>IFERROR(__xludf.DUMMYFUNCTION("""COMPUTED_VALUE"""),795477.0)</f>
        <v>795477</v>
      </c>
      <c r="B4099" s="2">
        <f>IFERROR(__xludf.DUMMYFUNCTION("""COMPUTED_VALUE"""),42748.8231390411)</f>
        <v>42748.82314</v>
      </c>
      <c r="C4099" s="1" t="str">
        <f>IFERROR(__xludf.DUMMYFUNCTION("""COMPUTED_VALUE"""),"treatment")</f>
        <v>treatment</v>
      </c>
      <c r="D4099" s="1" t="str">
        <f>IFERROR(__xludf.DUMMYFUNCTION("""COMPUTED_VALUE"""),"new_page")</f>
        <v>new_page</v>
      </c>
      <c r="E4099" s="1">
        <f>IFERROR(__xludf.DUMMYFUNCTION("""COMPUTED_VALUE"""),1.0)</f>
        <v>1</v>
      </c>
    </row>
    <row r="4100">
      <c r="A4100" s="1">
        <f>IFERROR(__xludf.DUMMYFUNCTION("""COMPUTED_VALUE"""),899302.0)</f>
        <v>899302</v>
      </c>
      <c r="B4100" s="2">
        <f>IFERROR(__xludf.DUMMYFUNCTION("""COMPUTED_VALUE"""),42747.896265804884)</f>
        <v>42747.89627</v>
      </c>
      <c r="C4100" s="1" t="str">
        <f>IFERROR(__xludf.DUMMYFUNCTION("""COMPUTED_VALUE"""),"control")</f>
        <v>control</v>
      </c>
      <c r="D4100" s="1" t="str">
        <f>IFERROR(__xludf.DUMMYFUNCTION("""COMPUTED_VALUE"""),"old_page")</f>
        <v>old_page</v>
      </c>
      <c r="E4100" s="1">
        <f>IFERROR(__xludf.DUMMYFUNCTION("""COMPUTED_VALUE"""),0.0)</f>
        <v>0</v>
      </c>
    </row>
    <row r="4101">
      <c r="A4101" s="1">
        <f>IFERROR(__xludf.DUMMYFUNCTION("""COMPUTED_VALUE"""),712114.0)</f>
        <v>712114</v>
      </c>
      <c r="B4101" s="2">
        <f>IFERROR(__xludf.DUMMYFUNCTION("""COMPUTED_VALUE"""),42757.7002926027)</f>
        <v>42757.70029</v>
      </c>
      <c r="C4101" s="1" t="str">
        <f>IFERROR(__xludf.DUMMYFUNCTION("""COMPUTED_VALUE"""),"treatment")</f>
        <v>treatment</v>
      </c>
      <c r="D4101" s="1" t="str">
        <f>IFERROR(__xludf.DUMMYFUNCTION("""COMPUTED_VALUE"""),"new_page")</f>
        <v>new_page</v>
      </c>
      <c r="E4101" s="1">
        <f>IFERROR(__xludf.DUMMYFUNCTION("""COMPUTED_VALUE"""),0.0)</f>
        <v>0</v>
      </c>
    </row>
    <row r="4102">
      <c r="A4102" s="1">
        <f>IFERROR(__xludf.DUMMYFUNCTION("""COMPUTED_VALUE"""),842244.0)</f>
        <v>842244</v>
      </c>
      <c r="B4102" s="2">
        <f>IFERROR(__xludf.DUMMYFUNCTION("""COMPUTED_VALUE"""),42739.11641790905)</f>
        <v>42739.11642</v>
      </c>
      <c r="C4102" s="1" t="str">
        <f>IFERROR(__xludf.DUMMYFUNCTION("""COMPUTED_VALUE"""),"control")</f>
        <v>control</v>
      </c>
      <c r="D4102" s="1" t="str">
        <f>IFERROR(__xludf.DUMMYFUNCTION("""COMPUTED_VALUE"""),"old_page")</f>
        <v>old_page</v>
      </c>
      <c r="E4102" s="1">
        <f>IFERROR(__xludf.DUMMYFUNCTION("""COMPUTED_VALUE"""),1.0)</f>
        <v>1</v>
      </c>
    </row>
    <row r="4103">
      <c r="A4103" s="1">
        <f>IFERROR(__xludf.DUMMYFUNCTION("""COMPUTED_VALUE"""),942586.0)</f>
        <v>942586</v>
      </c>
      <c r="B4103" s="2">
        <f>IFERROR(__xludf.DUMMYFUNCTION("""COMPUTED_VALUE"""),42759.546425422624)</f>
        <v>42759.54643</v>
      </c>
      <c r="C4103" s="1" t="str">
        <f>IFERROR(__xludf.DUMMYFUNCTION("""COMPUTED_VALUE"""),"treatment")</f>
        <v>treatment</v>
      </c>
      <c r="D4103" s="1" t="str">
        <f>IFERROR(__xludf.DUMMYFUNCTION("""COMPUTED_VALUE"""),"new_page")</f>
        <v>new_page</v>
      </c>
      <c r="E4103" s="1">
        <f>IFERROR(__xludf.DUMMYFUNCTION("""COMPUTED_VALUE"""),0.0)</f>
        <v>0</v>
      </c>
    </row>
    <row r="4104">
      <c r="A4104" s="1">
        <f>IFERROR(__xludf.DUMMYFUNCTION("""COMPUTED_VALUE"""),757736.0)</f>
        <v>757736</v>
      </c>
      <c r="B4104" s="2">
        <f>IFERROR(__xludf.DUMMYFUNCTION("""COMPUTED_VALUE"""),42746.59338006992)</f>
        <v>42746.59338</v>
      </c>
      <c r="C4104" s="1" t="str">
        <f>IFERROR(__xludf.DUMMYFUNCTION("""COMPUTED_VALUE"""),"control")</f>
        <v>control</v>
      </c>
      <c r="D4104" s="1" t="str">
        <f>IFERROR(__xludf.DUMMYFUNCTION("""COMPUTED_VALUE"""),"old_page")</f>
        <v>old_page</v>
      </c>
      <c r="E4104" s="1">
        <f>IFERROR(__xludf.DUMMYFUNCTION("""COMPUTED_VALUE"""),0.0)</f>
        <v>0</v>
      </c>
    </row>
    <row r="4105">
      <c r="A4105" s="1">
        <f>IFERROR(__xludf.DUMMYFUNCTION("""COMPUTED_VALUE"""),736975.0)</f>
        <v>736975</v>
      </c>
      <c r="B4105" s="2">
        <f>IFERROR(__xludf.DUMMYFUNCTION("""COMPUTED_VALUE"""),42746.583239209074)</f>
        <v>42746.58324</v>
      </c>
      <c r="C4105" s="1" t="str">
        <f>IFERROR(__xludf.DUMMYFUNCTION("""COMPUTED_VALUE"""),"control")</f>
        <v>control</v>
      </c>
      <c r="D4105" s="1" t="str">
        <f>IFERROR(__xludf.DUMMYFUNCTION("""COMPUTED_VALUE"""),"old_page")</f>
        <v>old_page</v>
      </c>
      <c r="E4105" s="1">
        <f>IFERROR(__xludf.DUMMYFUNCTION("""COMPUTED_VALUE"""),0.0)</f>
        <v>0</v>
      </c>
    </row>
    <row r="4106">
      <c r="A4106" s="1">
        <f>IFERROR(__xludf.DUMMYFUNCTION("""COMPUTED_VALUE"""),770064.0)</f>
        <v>770064</v>
      </c>
      <c r="B4106" s="2">
        <f>IFERROR(__xludf.DUMMYFUNCTION("""COMPUTED_VALUE"""),42754.838563068566)</f>
        <v>42754.83856</v>
      </c>
      <c r="C4106" s="1" t="str">
        <f>IFERROR(__xludf.DUMMYFUNCTION("""COMPUTED_VALUE"""),"treatment")</f>
        <v>treatment</v>
      </c>
      <c r="D4106" s="1" t="str">
        <f>IFERROR(__xludf.DUMMYFUNCTION("""COMPUTED_VALUE"""),"new_page")</f>
        <v>new_page</v>
      </c>
      <c r="E4106" s="1">
        <f>IFERROR(__xludf.DUMMYFUNCTION("""COMPUTED_VALUE"""),0.0)</f>
        <v>0</v>
      </c>
    </row>
    <row r="4107">
      <c r="A4107" s="1">
        <f>IFERROR(__xludf.DUMMYFUNCTION("""COMPUTED_VALUE"""),661182.0)</f>
        <v>661182</v>
      </c>
      <c r="B4107" s="2">
        <f>IFERROR(__xludf.DUMMYFUNCTION("""COMPUTED_VALUE"""),42740.42504751428)</f>
        <v>42740.42505</v>
      </c>
      <c r="C4107" s="1" t="str">
        <f>IFERROR(__xludf.DUMMYFUNCTION("""COMPUTED_VALUE"""),"control")</f>
        <v>control</v>
      </c>
      <c r="D4107" s="1" t="str">
        <f>IFERROR(__xludf.DUMMYFUNCTION("""COMPUTED_VALUE"""),"old_page")</f>
        <v>old_page</v>
      </c>
      <c r="E4107" s="1">
        <f>IFERROR(__xludf.DUMMYFUNCTION("""COMPUTED_VALUE"""),0.0)</f>
        <v>0</v>
      </c>
    </row>
    <row r="4108">
      <c r="A4108" s="1">
        <f>IFERROR(__xludf.DUMMYFUNCTION("""COMPUTED_VALUE"""),782384.0)</f>
        <v>782384</v>
      </c>
      <c r="B4108" s="2">
        <f>IFERROR(__xludf.DUMMYFUNCTION("""COMPUTED_VALUE"""),42747.13957475735)</f>
        <v>42747.13957</v>
      </c>
      <c r="C4108" s="1" t="str">
        <f>IFERROR(__xludf.DUMMYFUNCTION("""COMPUTED_VALUE"""),"control")</f>
        <v>control</v>
      </c>
      <c r="D4108" s="1" t="str">
        <f>IFERROR(__xludf.DUMMYFUNCTION("""COMPUTED_VALUE"""),"old_page")</f>
        <v>old_page</v>
      </c>
      <c r="E4108" s="1">
        <f>IFERROR(__xludf.DUMMYFUNCTION("""COMPUTED_VALUE"""),0.0)</f>
        <v>0</v>
      </c>
    </row>
    <row r="4109">
      <c r="A4109" s="1">
        <f>IFERROR(__xludf.DUMMYFUNCTION("""COMPUTED_VALUE"""),726347.0)</f>
        <v>726347</v>
      </c>
      <c r="B4109" s="2">
        <f>IFERROR(__xludf.DUMMYFUNCTION("""COMPUTED_VALUE"""),42757.277081152395)</f>
        <v>42757.27708</v>
      </c>
      <c r="C4109" s="1" t="str">
        <f>IFERROR(__xludf.DUMMYFUNCTION("""COMPUTED_VALUE"""),"control")</f>
        <v>control</v>
      </c>
      <c r="D4109" s="1" t="str">
        <f>IFERROR(__xludf.DUMMYFUNCTION("""COMPUTED_VALUE"""),"old_page")</f>
        <v>old_page</v>
      </c>
      <c r="E4109" s="1">
        <f>IFERROR(__xludf.DUMMYFUNCTION("""COMPUTED_VALUE"""),1.0)</f>
        <v>1</v>
      </c>
    </row>
    <row r="4110">
      <c r="A4110" s="1">
        <f>IFERROR(__xludf.DUMMYFUNCTION("""COMPUTED_VALUE"""),758088.0)</f>
        <v>758088</v>
      </c>
      <c r="B4110" s="2">
        <f>IFERROR(__xludf.DUMMYFUNCTION("""COMPUTED_VALUE"""),42759.32118405304)</f>
        <v>42759.32118</v>
      </c>
      <c r="C4110" s="1" t="str">
        <f>IFERROR(__xludf.DUMMYFUNCTION("""COMPUTED_VALUE"""),"control")</f>
        <v>control</v>
      </c>
      <c r="D4110" s="1" t="str">
        <f>IFERROR(__xludf.DUMMYFUNCTION("""COMPUTED_VALUE"""),"old_page")</f>
        <v>old_page</v>
      </c>
      <c r="E4110" s="1">
        <f>IFERROR(__xludf.DUMMYFUNCTION("""COMPUTED_VALUE"""),0.0)</f>
        <v>0</v>
      </c>
    </row>
    <row r="4111">
      <c r="A4111" s="1">
        <f>IFERROR(__xludf.DUMMYFUNCTION("""COMPUTED_VALUE"""),852013.0)</f>
        <v>852013</v>
      </c>
      <c r="B4111" s="2">
        <f>IFERROR(__xludf.DUMMYFUNCTION("""COMPUTED_VALUE"""),42749.51959352873)</f>
        <v>42749.51959</v>
      </c>
      <c r="C4111" s="1" t="str">
        <f>IFERROR(__xludf.DUMMYFUNCTION("""COMPUTED_VALUE"""),"treatment")</f>
        <v>treatment</v>
      </c>
      <c r="D4111" s="1" t="str">
        <f>IFERROR(__xludf.DUMMYFUNCTION("""COMPUTED_VALUE"""),"new_page")</f>
        <v>new_page</v>
      </c>
      <c r="E4111" s="1">
        <f>IFERROR(__xludf.DUMMYFUNCTION("""COMPUTED_VALUE"""),0.0)</f>
        <v>0</v>
      </c>
    </row>
    <row r="4112">
      <c r="A4112" s="1">
        <f>IFERROR(__xludf.DUMMYFUNCTION("""COMPUTED_VALUE"""),747843.0)</f>
        <v>747843</v>
      </c>
      <c r="B4112" s="2">
        <f>IFERROR(__xludf.DUMMYFUNCTION("""COMPUTED_VALUE"""),42746.681856783565)</f>
        <v>42746.68186</v>
      </c>
      <c r="C4112" s="1" t="str">
        <f>IFERROR(__xludf.DUMMYFUNCTION("""COMPUTED_VALUE"""),"treatment")</f>
        <v>treatment</v>
      </c>
      <c r="D4112" s="1" t="str">
        <f>IFERROR(__xludf.DUMMYFUNCTION("""COMPUTED_VALUE"""),"new_page")</f>
        <v>new_page</v>
      </c>
      <c r="E4112" s="1">
        <f>IFERROR(__xludf.DUMMYFUNCTION("""COMPUTED_VALUE"""),0.0)</f>
        <v>0</v>
      </c>
    </row>
    <row r="4113">
      <c r="A4113" s="1">
        <f>IFERROR(__xludf.DUMMYFUNCTION("""COMPUTED_VALUE"""),709794.0)</f>
        <v>709794</v>
      </c>
      <c r="B4113" s="2">
        <f>IFERROR(__xludf.DUMMYFUNCTION("""COMPUTED_VALUE"""),42748.24489534604)</f>
        <v>42748.2449</v>
      </c>
      <c r="C4113" s="1" t="str">
        <f>IFERROR(__xludf.DUMMYFUNCTION("""COMPUTED_VALUE"""),"control")</f>
        <v>control</v>
      </c>
      <c r="D4113" s="1" t="str">
        <f>IFERROR(__xludf.DUMMYFUNCTION("""COMPUTED_VALUE"""),"old_page")</f>
        <v>old_page</v>
      </c>
      <c r="E4113" s="1">
        <f>IFERROR(__xludf.DUMMYFUNCTION("""COMPUTED_VALUE"""),0.0)</f>
        <v>0</v>
      </c>
    </row>
    <row r="4114">
      <c r="A4114" s="1">
        <f>IFERROR(__xludf.DUMMYFUNCTION("""COMPUTED_VALUE"""),646379.0)</f>
        <v>646379</v>
      </c>
      <c r="B4114" s="2">
        <f>IFERROR(__xludf.DUMMYFUNCTION("""COMPUTED_VALUE"""),42754.84815112672)</f>
        <v>42754.84815</v>
      </c>
      <c r="C4114" s="1" t="str">
        <f>IFERROR(__xludf.DUMMYFUNCTION("""COMPUTED_VALUE"""),"treatment")</f>
        <v>treatment</v>
      </c>
      <c r="D4114" s="1" t="str">
        <f>IFERROR(__xludf.DUMMYFUNCTION("""COMPUTED_VALUE"""),"new_page")</f>
        <v>new_page</v>
      </c>
      <c r="E4114" s="1">
        <f>IFERROR(__xludf.DUMMYFUNCTION("""COMPUTED_VALUE"""),0.0)</f>
        <v>0</v>
      </c>
    </row>
    <row r="4115">
      <c r="A4115" s="1">
        <f>IFERROR(__xludf.DUMMYFUNCTION("""COMPUTED_VALUE"""),935148.0)</f>
        <v>935148</v>
      </c>
      <c r="B4115" s="2">
        <f>IFERROR(__xludf.DUMMYFUNCTION("""COMPUTED_VALUE"""),42750.130833328556)</f>
        <v>42750.13083</v>
      </c>
      <c r="C4115" s="1" t="str">
        <f>IFERROR(__xludf.DUMMYFUNCTION("""COMPUTED_VALUE"""),"control")</f>
        <v>control</v>
      </c>
      <c r="D4115" s="1" t="str">
        <f>IFERROR(__xludf.DUMMYFUNCTION("""COMPUTED_VALUE"""),"old_page")</f>
        <v>old_page</v>
      </c>
      <c r="E4115" s="1">
        <f>IFERROR(__xludf.DUMMYFUNCTION("""COMPUTED_VALUE"""),0.0)</f>
        <v>0</v>
      </c>
    </row>
    <row r="4116">
      <c r="A4116" s="1">
        <f>IFERROR(__xludf.DUMMYFUNCTION("""COMPUTED_VALUE"""),878767.0)</f>
        <v>878767</v>
      </c>
      <c r="B4116" s="2">
        <f>IFERROR(__xludf.DUMMYFUNCTION("""COMPUTED_VALUE"""),42747.24095476023)</f>
        <v>42747.24095</v>
      </c>
      <c r="C4116" s="1" t="str">
        <f>IFERROR(__xludf.DUMMYFUNCTION("""COMPUTED_VALUE"""),"treatment")</f>
        <v>treatment</v>
      </c>
      <c r="D4116" s="1" t="str">
        <f>IFERROR(__xludf.DUMMYFUNCTION("""COMPUTED_VALUE"""),"new_page")</f>
        <v>new_page</v>
      </c>
      <c r="E4116" s="1">
        <f>IFERROR(__xludf.DUMMYFUNCTION("""COMPUTED_VALUE"""),0.0)</f>
        <v>0</v>
      </c>
    </row>
    <row r="4117">
      <c r="A4117" s="1">
        <f>IFERROR(__xludf.DUMMYFUNCTION("""COMPUTED_VALUE"""),848763.0)</f>
        <v>848763</v>
      </c>
      <c r="B4117" s="2">
        <f>IFERROR(__xludf.DUMMYFUNCTION("""COMPUTED_VALUE"""),42739.77710711521)</f>
        <v>42739.77711</v>
      </c>
      <c r="C4117" s="1" t="str">
        <f>IFERROR(__xludf.DUMMYFUNCTION("""COMPUTED_VALUE"""),"control")</f>
        <v>control</v>
      </c>
      <c r="D4117" s="1" t="str">
        <f>IFERROR(__xludf.DUMMYFUNCTION("""COMPUTED_VALUE"""),"old_page")</f>
        <v>old_page</v>
      </c>
      <c r="E4117" s="1">
        <f>IFERROR(__xludf.DUMMYFUNCTION("""COMPUTED_VALUE"""),0.0)</f>
        <v>0</v>
      </c>
    </row>
    <row r="4118">
      <c r="A4118" s="1">
        <f>IFERROR(__xludf.DUMMYFUNCTION("""COMPUTED_VALUE"""),738447.0)</f>
        <v>738447</v>
      </c>
      <c r="B4118" s="2">
        <f>IFERROR(__xludf.DUMMYFUNCTION("""COMPUTED_VALUE"""),42742.63271991826)</f>
        <v>42742.63272</v>
      </c>
      <c r="C4118" s="1" t="str">
        <f>IFERROR(__xludf.DUMMYFUNCTION("""COMPUTED_VALUE"""),"control")</f>
        <v>control</v>
      </c>
      <c r="D4118" s="1" t="str">
        <f>IFERROR(__xludf.DUMMYFUNCTION("""COMPUTED_VALUE"""),"old_page")</f>
        <v>old_page</v>
      </c>
      <c r="E4118" s="1">
        <f>IFERROR(__xludf.DUMMYFUNCTION("""COMPUTED_VALUE"""),0.0)</f>
        <v>0</v>
      </c>
    </row>
    <row r="4119">
      <c r="A4119" s="1">
        <f>IFERROR(__xludf.DUMMYFUNCTION("""COMPUTED_VALUE"""),945160.0)</f>
        <v>945160</v>
      </c>
      <c r="B4119" s="2">
        <f>IFERROR(__xludf.DUMMYFUNCTION("""COMPUTED_VALUE"""),42752.39943494179)</f>
        <v>42752.39943</v>
      </c>
      <c r="C4119" s="1" t="str">
        <f>IFERROR(__xludf.DUMMYFUNCTION("""COMPUTED_VALUE"""),"treatment")</f>
        <v>treatment</v>
      </c>
      <c r="D4119" s="1" t="str">
        <f>IFERROR(__xludf.DUMMYFUNCTION("""COMPUTED_VALUE"""),"new_page")</f>
        <v>new_page</v>
      </c>
      <c r="E4119" s="1">
        <f>IFERROR(__xludf.DUMMYFUNCTION("""COMPUTED_VALUE"""),0.0)</f>
        <v>0</v>
      </c>
    </row>
    <row r="4120">
      <c r="A4120" s="1">
        <f>IFERROR(__xludf.DUMMYFUNCTION("""COMPUTED_VALUE"""),650352.0)</f>
        <v>650352</v>
      </c>
      <c r="B4120" s="2">
        <f>IFERROR(__xludf.DUMMYFUNCTION("""COMPUTED_VALUE"""),42756.40086440452)</f>
        <v>42756.40086</v>
      </c>
      <c r="C4120" s="1" t="str">
        <f>IFERROR(__xludf.DUMMYFUNCTION("""COMPUTED_VALUE"""),"treatment")</f>
        <v>treatment</v>
      </c>
      <c r="D4120" s="1" t="str">
        <f>IFERROR(__xludf.DUMMYFUNCTION("""COMPUTED_VALUE"""),"new_page")</f>
        <v>new_page</v>
      </c>
      <c r="E4120" s="1">
        <f>IFERROR(__xludf.DUMMYFUNCTION("""COMPUTED_VALUE"""),0.0)</f>
        <v>0</v>
      </c>
    </row>
    <row r="4121">
      <c r="A4121" s="1">
        <f>IFERROR(__xludf.DUMMYFUNCTION("""COMPUTED_VALUE"""),874503.0)</f>
        <v>874503</v>
      </c>
      <c r="B4121" s="2">
        <f>IFERROR(__xludf.DUMMYFUNCTION("""COMPUTED_VALUE"""),42741.530816610866)</f>
        <v>42741.53082</v>
      </c>
      <c r="C4121" s="1" t="str">
        <f>IFERROR(__xludf.DUMMYFUNCTION("""COMPUTED_VALUE"""),"control")</f>
        <v>control</v>
      </c>
      <c r="D4121" s="1" t="str">
        <f>IFERROR(__xludf.DUMMYFUNCTION("""COMPUTED_VALUE"""),"old_page")</f>
        <v>old_page</v>
      </c>
      <c r="E4121" s="1">
        <f>IFERROR(__xludf.DUMMYFUNCTION("""COMPUTED_VALUE"""),0.0)</f>
        <v>0</v>
      </c>
    </row>
    <row r="4122">
      <c r="A4122" s="1">
        <f>IFERROR(__xludf.DUMMYFUNCTION("""COMPUTED_VALUE"""),637098.0)</f>
        <v>637098</v>
      </c>
      <c r="B4122" s="2">
        <f>IFERROR(__xludf.DUMMYFUNCTION("""COMPUTED_VALUE"""),42740.49565395485)</f>
        <v>42740.49565</v>
      </c>
      <c r="C4122" s="1" t="str">
        <f>IFERROR(__xludf.DUMMYFUNCTION("""COMPUTED_VALUE"""),"control")</f>
        <v>control</v>
      </c>
      <c r="D4122" s="1" t="str">
        <f>IFERROR(__xludf.DUMMYFUNCTION("""COMPUTED_VALUE"""),"old_page")</f>
        <v>old_page</v>
      </c>
      <c r="E4122" s="1">
        <f>IFERROR(__xludf.DUMMYFUNCTION("""COMPUTED_VALUE"""),0.0)</f>
        <v>0</v>
      </c>
    </row>
    <row r="4123">
      <c r="A4123" s="1">
        <f>IFERROR(__xludf.DUMMYFUNCTION("""COMPUTED_VALUE"""),753954.0)</f>
        <v>753954</v>
      </c>
      <c r="B4123" s="2">
        <f>IFERROR(__xludf.DUMMYFUNCTION("""COMPUTED_VALUE"""),42757.611066342906)</f>
        <v>42757.61107</v>
      </c>
      <c r="C4123" s="1" t="str">
        <f>IFERROR(__xludf.DUMMYFUNCTION("""COMPUTED_VALUE"""),"control")</f>
        <v>control</v>
      </c>
      <c r="D4123" s="1" t="str">
        <f>IFERROR(__xludf.DUMMYFUNCTION("""COMPUTED_VALUE"""),"old_page")</f>
        <v>old_page</v>
      </c>
      <c r="E4123" s="1">
        <f>IFERROR(__xludf.DUMMYFUNCTION("""COMPUTED_VALUE"""),0.0)</f>
        <v>0</v>
      </c>
    </row>
    <row r="4124">
      <c r="A4124" s="1">
        <f>IFERROR(__xludf.DUMMYFUNCTION("""COMPUTED_VALUE"""),817422.0)</f>
        <v>817422</v>
      </c>
      <c r="B4124" s="2">
        <f>IFERROR(__xludf.DUMMYFUNCTION("""COMPUTED_VALUE"""),42758.85392053065)</f>
        <v>42758.85392</v>
      </c>
      <c r="C4124" s="1" t="str">
        <f>IFERROR(__xludf.DUMMYFUNCTION("""COMPUTED_VALUE"""),"treatment")</f>
        <v>treatment</v>
      </c>
      <c r="D4124" s="1" t="str">
        <f>IFERROR(__xludf.DUMMYFUNCTION("""COMPUTED_VALUE"""),"new_page")</f>
        <v>new_page</v>
      </c>
      <c r="E4124" s="1">
        <f>IFERROR(__xludf.DUMMYFUNCTION("""COMPUTED_VALUE"""),0.0)</f>
        <v>0</v>
      </c>
    </row>
    <row r="4125">
      <c r="A4125" s="1">
        <f>IFERROR(__xludf.DUMMYFUNCTION("""COMPUTED_VALUE"""),819320.0)</f>
        <v>819320</v>
      </c>
      <c r="B4125" s="2">
        <f>IFERROR(__xludf.DUMMYFUNCTION("""COMPUTED_VALUE"""),42756.81840918776)</f>
        <v>42756.81841</v>
      </c>
      <c r="C4125" s="1" t="str">
        <f>IFERROR(__xludf.DUMMYFUNCTION("""COMPUTED_VALUE"""),"treatment")</f>
        <v>treatment</v>
      </c>
      <c r="D4125" s="1" t="str">
        <f>IFERROR(__xludf.DUMMYFUNCTION("""COMPUTED_VALUE"""),"new_page")</f>
        <v>new_page</v>
      </c>
      <c r="E4125" s="1">
        <f>IFERROR(__xludf.DUMMYFUNCTION("""COMPUTED_VALUE"""),0.0)</f>
        <v>0</v>
      </c>
    </row>
    <row r="4126">
      <c r="A4126" s="1">
        <f>IFERROR(__xludf.DUMMYFUNCTION("""COMPUTED_VALUE"""),917615.0)</f>
        <v>917615</v>
      </c>
      <c r="B4126" s="2">
        <f>IFERROR(__xludf.DUMMYFUNCTION("""COMPUTED_VALUE"""),42750.99679718196)</f>
        <v>42750.9968</v>
      </c>
      <c r="C4126" s="1" t="str">
        <f>IFERROR(__xludf.DUMMYFUNCTION("""COMPUTED_VALUE"""),"treatment")</f>
        <v>treatment</v>
      </c>
      <c r="D4126" s="1" t="str">
        <f>IFERROR(__xludf.DUMMYFUNCTION("""COMPUTED_VALUE"""),"new_page")</f>
        <v>new_page</v>
      </c>
      <c r="E4126" s="1">
        <f>IFERROR(__xludf.DUMMYFUNCTION("""COMPUTED_VALUE"""),0.0)</f>
        <v>0</v>
      </c>
    </row>
    <row r="4127">
      <c r="A4127" s="1">
        <f>IFERROR(__xludf.DUMMYFUNCTION("""COMPUTED_VALUE"""),905633.0)</f>
        <v>905633</v>
      </c>
      <c r="B4127" s="2">
        <f>IFERROR(__xludf.DUMMYFUNCTION("""COMPUTED_VALUE"""),42746.01034047875)</f>
        <v>42746.01034</v>
      </c>
      <c r="C4127" s="1" t="str">
        <f>IFERROR(__xludf.DUMMYFUNCTION("""COMPUTED_VALUE"""),"treatment")</f>
        <v>treatment</v>
      </c>
      <c r="D4127" s="1" t="str">
        <f>IFERROR(__xludf.DUMMYFUNCTION("""COMPUTED_VALUE"""),"new_page")</f>
        <v>new_page</v>
      </c>
      <c r="E4127" s="1">
        <f>IFERROR(__xludf.DUMMYFUNCTION("""COMPUTED_VALUE"""),0.0)</f>
        <v>0</v>
      </c>
    </row>
    <row r="4128">
      <c r="A4128" s="1">
        <f>IFERROR(__xludf.DUMMYFUNCTION("""COMPUTED_VALUE"""),865360.0)</f>
        <v>865360</v>
      </c>
      <c r="B4128" s="2">
        <f>IFERROR(__xludf.DUMMYFUNCTION("""COMPUTED_VALUE"""),42743.389066537755)</f>
        <v>42743.38907</v>
      </c>
      <c r="C4128" s="1" t="str">
        <f>IFERROR(__xludf.DUMMYFUNCTION("""COMPUTED_VALUE"""),"control")</f>
        <v>control</v>
      </c>
      <c r="D4128" s="1" t="str">
        <f>IFERROR(__xludf.DUMMYFUNCTION("""COMPUTED_VALUE"""),"old_page")</f>
        <v>old_page</v>
      </c>
      <c r="E4128" s="1">
        <f>IFERROR(__xludf.DUMMYFUNCTION("""COMPUTED_VALUE"""),1.0)</f>
        <v>1</v>
      </c>
    </row>
    <row r="4129">
      <c r="A4129" s="1">
        <f>IFERROR(__xludf.DUMMYFUNCTION("""COMPUTED_VALUE"""),824646.0)</f>
        <v>824646</v>
      </c>
      <c r="B4129" s="2">
        <f>IFERROR(__xludf.DUMMYFUNCTION("""COMPUTED_VALUE"""),42753.957387155795)</f>
        <v>42753.95739</v>
      </c>
      <c r="C4129" s="1" t="str">
        <f>IFERROR(__xludf.DUMMYFUNCTION("""COMPUTED_VALUE"""),"treatment")</f>
        <v>treatment</v>
      </c>
      <c r="D4129" s="1" t="str">
        <f>IFERROR(__xludf.DUMMYFUNCTION("""COMPUTED_VALUE"""),"new_page")</f>
        <v>new_page</v>
      </c>
      <c r="E4129" s="1">
        <f>IFERROR(__xludf.DUMMYFUNCTION("""COMPUTED_VALUE"""),1.0)</f>
        <v>1</v>
      </c>
    </row>
    <row r="4130">
      <c r="A4130" s="1">
        <f>IFERROR(__xludf.DUMMYFUNCTION("""COMPUTED_VALUE"""),938845.0)</f>
        <v>938845</v>
      </c>
      <c r="B4130" s="2">
        <f>IFERROR(__xludf.DUMMYFUNCTION("""COMPUTED_VALUE"""),42750.391504004736)</f>
        <v>42750.3915</v>
      </c>
      <c r="C4130" s="1" t="str">
        <f>IFERROR(__xludf.DUMMYFUNCTION("""COMPUTED_VALUE"""),"control")</f>
        <v>control</v>
      </c>
      <c r="D4130" s="1" t="str">
        <f>IFERROR(__xludf.DUMMYFUNCTION("""COMPUTED_VALUE"""),"old_page")</f>
        <v>old_page</v>
      </c>
      <c r="E4130" s="1">
        <f>IFERROR(__xludf.DUMMYFUNCTION("""COMPUTED_VALUE"""),0.0)</f>
        <v>0</v>
      </c>
    </row>
    <row r="4131">
      <c r="A4131" s="1">
        <f>IFERROR(__xludf.DUMMYFUNCTION("""COMPUTED_VALUE"""),734170.0)</f>
        <v>734170</v>
      </c>
      <c r="B4131" s="2">
        <f>IFERROR(__xludf.DUMMYFUNCTION("""COMPUTED_VALUE"""),42757.75557217265)</f>
        <v>42757.75557</v>
      </c>
      <c r="C4131" s="1" t="str">
        <f>IFERROR(__xludf.DUMMYFUNCTION("""COMPUTED_VALUE"""),"treatment")</f>
        <v>treatment</v>
      </c>
      <c r="D4131" s="1" t="str">
        <f>IFERROR(__xludf.DUMMYFUNCTION("""COMPUTED_VALUE"""),"new_page")</f>
        <v>new_page</v>
      </c>
      <c r="E4131" s="1">
        <f>IFERROR(__xludf.DUMMYFUNCTION("""COMPUTED_VALUE"""),0.0)</f>
        <v>0</v>
      </c>
    </row>
    <row r="4132">
      <c r="A4132" s="1">
        <f>IFERROR(__xludf.DUMMYFUNCTION("""COMPUTED_VALUE"""),909336.0)</f>
        <v>909336</v>
      </c>
      <c r="B4132" s="2">
        <f>IFERROR(__xludf.DUMMYFUNCTION("""COMPUTED_VALUE"""),42739.55722508783)</f>
        <v>42739.55723</v>
      </c>
      <c r="C4132" s="1" t="str">
        <f>IFERROR(__xludf.DUMMYFUNCTION("""COMPUTED_VALUE"""),"control")</f>
        <v>control</v>
      </c>
      <c r="D4132" s="1" t="str">
        <f>IFERROR(__xludf.DUMMYFUNCTION("""COMPUTED_VALUE"""),"old_page")</f>
        <v>old_page</v>
      </c>
      <c r="E4132" s="1">
        <f>IFERROR(__xludf.DUMMYFUNCTION("""COMPUTED_VALUE"""),0.0)</f>
        <v>0</v>
      </c>
    </row>
    <row r="4133">
      <c r="A4133" s="1">
        <f>IFERROR(__xludf.DUMMYFUNCTION("""COMPUTED_VALUE"""),873953.0)</f>
        <v>873953</v>
      </c>
      <c r="B4133" s="2">
        <f>IFERROR(__xludf.DUMMYFUNCTION("""COMPUTED_VALUE"""),42756.14155355568)</f>
        <v>42756.14155</v>
      </c>
      <c r="C4133" s="1" t="str">
        <f>IFERROR(__xludf.DUMMYFUNCTION("""COMPUTED_VALUE"""),"control")</f>
        <v>control</v>
      </c>
      <c r="D4133" s="1" t="str">
        <f>IFERROR(__xludf.DUMMYFUNCTION("""COMPUTED_VALUE"""),"old_page")</f>
        <v>old_page</v>
      </c>
      <c r="E4133" s="1">
        <f>IFERROR(__xludf.DUMMYFUNCTION("""COMPUTED_VALUE"""),0.0)</f>
        <v>0</v>
      </c>
    </row>
    <row r="4134">
      <c r="A4134" s="1">
        <f>IFERROR(__xludf.DUMMYFUNCTION("""COMPUTED_VALUE"""),806348.0)</f>
        <v>806348</v>
      </c>
      <c r="B4134" s="2">
        <f>IFERROR(__xludf.DUMMYFUNCTION("""COMPUTED_VALUE"""),42743.998593913355)</f>
        <v>42743.99859</v>
      </c>
      <c r="C4134" s="1" t="str">
        <f>IFERROR(__xludf.DUMMYFUNCTION("""COMPUTED_VALUE"""),"control")</f>
        <v>control</v>
      </c>
      <c r="D4134" s="1" t="str">
        <f>IFERROR(__xludf.DUMMYFUNCTION("""COMPUTED_VALUE"""),"old_page")</f>
        <v>old_page</v>
      </c>
      <c r="E4134" s="1">
        <f>IFERROR(__xludf.DUMMYFUNCTION("""COMPUTED_VALUE"""),1.0)</f>
        <v>1</v>
      </c>
    </row>
    <row r="4135">
      <c r="A4135" s="1">
        <f>IFERROR(__xludf.DUMMYFUNCTION("""COMPUTED_VALUE"""),757610.0)</f>
        <v>757610</v>
      </c>
      <c r="B4135" s="2">
        <f>IFERROR(__xludf.DUMMYFUNCTION("""COMPUTED_VALUE"""),42756.875377376826)</f>
        <v>42756.87538</v>
      </c>
      <c r="C4135" s="1" t="str">
        <f>IFERROR(__xludf.DUMMYFUNCTION("""COMPUTED_VALUE"""),"control")</f>
        <v>control</v>
      </c>
      <c r="D4135" s="1" t="str">
        <f>IFERROR(__xludf.DUMMYFUNCTION("""COMPUTED_VALUE"""),"old_page")</f>
        <v>old_page</v>
      </c>
      <c r="E4135" s="1">
        <f>IFERROR(__xludf.DUMMYFUNCTION("""COMPUTED_VALUE"""),1.0)</f>
        <v>1</v>
      </c>
    </row>
    <row r="4136">
      <c r="A4136" s="1">
        <f>IFERROR(__xludf.DUMMYFUNCTION("""COMPUTED_VALUE"""),749991.0)</f>
        <v>749991</v>
      </c>
      <c r="B4136" s="2">
        <f>IFERROR(__xludf.DUMMYFUNCTION("""COMPUTED_VALUE"""),42755.574470942265)</f>
        <v>42755.57447</v>
      </c>
      <c r="C4136" s="1" t="str">
        <f>IFERROR(__xludf.DUMMYFUNCTION("""COMPUTED_VALUE"""),"treatment")</f>
        <v>treatment</v>
      </c>
      <c r="D4136" s="1" t="str">
        <f>IFERROR(__xludf.DUMMYFUNCTION("""COMPUTED_VALUE"""),"new_page")</f>
        <v>new_page</v>
      </c>
      <c r="E4136" s="1">
        <f>IFERROR(__xludf.DUMMYFUNCTION("""COMPUTED_VALUE"""),0.0)</f>
        <v>0</v>
      </c>
    </row>
    <row r="4137">
      <c r="A4137" s="1">
        <f>IFERROR(__xludf.DUMMYFUNCTION("""COMPUTED_VALUE"""),727180.0)</f>
        <v>727180</v>
      </c>
      <c r="B4137" s="2">
        <f>IFERROR(__xludf.DUMMYFUNCTION("""COMPUTED_VALUE"""),42753.40822882278)</f>
        <v>42753.40823</v>
      </c>
      <c r="C4137" s="1" t="str">
        <f>IFERROR(__xludf.DUMMYFUNCTION("""COMPUTED_VALUE"""),"treatment")</f>
        <v>treatment</v>
      </c>
      <c r="D4137" s="1" t="str">
        <f>IFERROR(__xludf.DUMMYFUNCTION("""COMPUTED_VALUE"""),"new_page")</f>
        <v>new_page</v>
      </c>
      <c r="E4137" s="1">
        <f>IFERROR(__xludf.DUMMYFUNCTION("""COMPUTED_VALUE"""),0.0)</f>
        <v>0</v>
      </c>
    </row>
    <row r="4138">
      <c r="A4138" s="1">
        <f>IFERROR(__xludf.DUMMYFUNCTION("""COMPUTED_VALUE"""),868568.0)</f>
        <v>868568</v>
      </c>
      <c r="B4138" s="2">
        <f>IFERROR(__xludf.DUMMYFUNCTION("""COMPUTED_VALUE"""),42747.10751407536)</f>
        <v>42747.10751</v>
      </c>
      <c r="C4138" s="1" t="str">
        <f>IFERROR(__xludf.DUMMYFUNCTION("""COMPUTED_VALUE"""),"treatment")</f>
        <v>treatment</v>
      </c>
      <c r="D4138" s="1" t="str">
        <f>IFERROR(__xludf.DUMMYFUNCTION("""COMPUTED_VALUE"""),"new_page")</f>
        <v>new_page</v>
      </c>
      <c r="E4138" s="1">
        <f>IFERROR(__xludf.DUMMYFUNCTION("""COMPUTED_VALUE"""),0.0)</f>
        <v>0</v>
      </c>
    </row>
    <row r="4139">
      <c r="A4139" s="1">
        <f>IFERROR(__xludf.DUMMYFUNCTION("""COMPUTED_VALUE"""),752867.0)</f>
        <v>752867</v>
      </c>
      <c r="B4139" s="2">
        <f>IFERROR(__xludf.DUMMYFUNCTION("""COMPUTED_VALUE"""),42739.00541124939)</f>
        <v>42739.00541</v>
      </c>
      <c r="C4139" s="1" t="str">
        <f>IFERROR(__xludf.DUMMYFUNCTION("""COMPUTED_VALUE"""),"treatment")</f>
        <v>treatment</v>
      </c>
      <c r="D4139" s="1" t="str">
        <f>IFERROR(__xludf.DUMMYFUNCTION("""COMPUTED_VALUE"""),"new_page")</f>
        <v>new_page</v>
      </c>
      <c r="E4139" s="1">
        <f>IFERROR(__xludf.DUMMYFUNCTION("""COMPUTED_VALUE"""),0.0)</f>
        <v>0</v>
      </c>
    </row>
    <row r="4140">
      <c r="A4140" s="1">
        <f>IFERROR(__xludf.DUMMYFUNCTION("""COMPUTED_VALUE"""),906154.0)</f>
        <v>906154</v>
      </c>
      <c r="B4140" s="2">
        <f>IFERROR(__xludf.DUMMYFUNCTION("""COMPUTED_VALUE"""),42740.07207079979)</f>
        <v>42740.07207</v>
      </c>
      <c r="C4140" s="1" t="str">
        <f>IFERROR(__xludf.DUMMYFUNCTION("""COMPUTED_VALUE"""),"treatment")</f>
        <v>treatment</v>
      </c>
      <c r="D4140" s="1" t="str">
        <f>IFERROR(__xludf.DUMMYFUNCTION("""COMPUTED_VALUE"""),"new_page")</f>
        <v>new_page</v>
      </c>
      <c r="E4140" s="1">
        <f>IFERROR(__xludf.DUMMYFUNCTION("""COMPUTED_VALUE"""),0.0)</f>
        <v>0</v>
      </c>
    </row>
    <row r="4141">
      <c r="A4141" s="1">
        <f>IFERROR(__xludf.DUMMYFUNCTION("""COMPUTED_VALUE"""),944229.0)</f>
        <v>944229</v>
      </c>
      <c r="B4141" s="2">
        <f>IFERROR(__xludf.DUMMYFUNCTION("""COMPUTED_VALUE"""),42750.8949081758)</f>
        <v>42750.89491</v>
      </c>
      <c r="C4141" s="1" t="str">
        <f>IFERROR(__xludf.DUMMYFUNCTION("""COMPUTED_VALUE"""),"control")</f>
        <v>control</v>
      </c>
      <c r="D4141" s="1" t="str">
        <f>IFERROR(__xludf.DUMMYFUNCTION("""COMPUTED_VALUE"""),"old_page")</f>
        <v>old_page</v>
      </c>
      <c r="E4141" s="1">
        <f>IFERROR(__xludf.DUMMYFUNCTION("""COMPUTED_VALUE"""),0.0)</f>
        <v>0</v>
      </c>
    </row>
    <row r="4142">
      <c r="A4142" s="1">
        <f>IFERROR(__xludf.DUMMYFUNCTION("""COMPUTED_VALUE"""),756130.0)</f>
        <v>756130</v>
      </c>
      <c r="B4142" s="2">
        <f>IFERROR(__xludf.DUMMYFUNCTION("""COMPUTED_VALUE"""),42741.32455234457)</f>
        <v>42741.32455</v>
      </c>
      <c r="C4142" s="1" t="str">
        <f>IFERROR(__xludf.DUMMYFUNCTION("""COMPUTED_VALUE"""),"treatment")</f>
        <v>treatment</v>
      </c>
      <c r="D4142" s="1" t="str">
        <f>IFERROR(__xludf.DUMMYFUNCTION("""COMPUTED_VALUE"""),"new_page")</f>
        <v>new_page</v>
      </c>
      <c r="E4142" s="1">
        <f>IFERROR(__xludf.DUMMYFUNCTION("""COMPUTED_VALUE"""),0.0)</f>
        <v>0</v>
      </c>
    </row>
    <row r="4143">
      <c r="A4143" s="1">
        <f>IFERROR(__xludf.DUMMYFUNCTION("""COMPUTED_VALUE"""),883490.0)</f>
        <v>883490</v>
      </c>
      <c r="B4143" s="2">
        <f>IFERROR(__xludf.DUMMYFUNCTION("""COMPUTED_VALUE"""),42756.77927663964)</f>
        <v>42756.77928</v>
      </c>
      <c r="C4143" s="1" t="str">
        <f>IFERROR(__xludf.DUMMYFUNCTION("""COMPUTED_VALUE"""),"treatment")</f>
        <v>treatment</v>
      </c>
      <c r="D4143" s="1" t="str">
        <f>IFERROR(__xludf.DUMMYFUNCTION("""COMPUTED_VALUE"""),"new_page")</f>
        <v>new_page</v>
      </c>
      <c r="E4143" s="1">
        <f>IFERROR(__xludf.DUMMYFUNCTION("""COMPUTED_VALUE"""),0.0)</f>
        <v>0</v>
      </c>
    </row>
    <row r="4144">
      <c r="A4144" s="1">
        <f>IFERROR(__xludf.DUMMYFUNCTION("""COMPUTED_VALUE"""),683741.0)</f>
        <v>683741</v>
      </c>
      <c r="B4144" s="2">
        <f>IFERROR(__xludf.DUMMYFUNCTION("""COMPUTED_VALUE"""),42742.79394587442)</f>
        <v>42742.79395</v>
      </c>
      <c r="C4144" s="1" t="str">
        <f>IFERROR(__xludf.DUMMYFUNCTION("""COMPUTED_VALUE"""),"treatment")</f>
        <v>treatment</v>
      </c>
      <c r="D4144" s="1" t="str">
        <f>IFERROR(__xludf.DUMMYFUNCTION("""COMPUTED_VALUE"""),"new_page")</f>
        <v>new_page</v>
      </c>
      <c r="E4144" s="1">
        <f>IFERROR(__xludf.DUMMYFUNCTION("""COMPUTED_VALUE"""),0.0)</f>
        <v>0</v>
      </c>
    </row>
    <row r="4145">
      <c r="A4145" s="1">
        <f>IFERROR(__xludf.DUMMYFUNCTION("""COMPUTED_VALUE"""),664707.0)</f>
        <v>664707</v>
      </c>
      <c r="B4145" s="2">
        <f>IFERROR(__xludf.DUMMYFUNCTION("""COMPUTED_VALUE"""),42753.70240179838)</f>
        <v>42753.7024</v>
      </c>
      <c r="C4145" s="1" t="str">
        <f>IFERROR(__xludf.DUMMYFUNCTION("""COMPUTED_VALUE"""),"treatment")</f>
        <v>treatment</v>
      </c>
      <c r="D4145" s="1" t="str">
        <f>IFERROR(__xludf.DUMMYFUNCTION("""COMPUTED_VALUE"""),"new_page")</f>
        <v>new_page</v>
      </c>
      <c r="E4145" s="1">
        <f>IFERROR(__xludf.DUMMYFUNCTION("""COMPUTED_VALUE"""),0.0)</f>
        <v>0</v>
      </c>
    </row>
    <row r="4146">
      <c r="A4146" s="1">
        <f>IFERROR(__xludf.DUMMYFUNCTION("""COMPUTED_VALUE"""),636855.0)</f>
        <v>636855</v>
      </c>
      <c r="B4146" s="2">
        <f>IFERROR(__xludf.DUMMYFUNCTION("""COMPUTED_VALUE"""),42754.72147510627)</f>
        <v>42754.72148</v>
      </c>
      <c r="C4146" s="1" t="str">
        <f>IFERROR(__xludf.DUMMYFUNCTION("""COMPUTED_VALUE"""),"control")</f>
        <v>control</v>
      </c>
      <c r="D4146" s="1" t="str">
        <f>IFERROR(__xludf.DUMMYFUNCTION("""COMPUTED_VALUE"""),"old_page")</f>
        <v>old_page</v>
      </c>
      <c r="E4146" s="1">
        <f>IFERROR(__xludf.DUMMYFUNCTION("""COMPUTED_VALUE"""),0.0)</f>
        <v>0</v>
      </c>
    </row>
    <row r="4147">
      <c r="A4147" s="1">
        <f>IFERROR(__xludf.DUMMYFUNCTION("""COMPUTED_VALUE"""),656500.0)</f>
        <v>656500</v>
      </c>
      <c r="B4147" s="2">
        <f>IFERROR(__xludf.DUMMYFUNCTION("""COMPUTED_VALUE"""),42738.60203507808)</f>
        <v>42738.60204</v>
      </c>
      <c r="C4147" s="1" t="str">
        <f>IFERROR(__xludf.DUMMYFUNCTION("""COMPUTED_VALUE"""),"treatment")</f>
        <v>treatment</v>
      </c>
      <c r="D4147" s="1" t="str">
        <f>IFERROR(__xludf.DUMMYFUNCTION("""COMPUTED_VALUE"""),"new_page")</f>
        <v>new_page</v>
      </c>
      <c r="E4147" s="1">
        <f>IFERROR(__xludf.DUMMYFUNCTION("""COMPUTED_VALUE"""),0.0)</f>
        <v>0</v>
      </c>
    </row>
    <row r="4148">
      <c r="A4148" s="1">
        <f>IFERROR(__xludf.DUMMYFUNCTION("""COMPUTED_VALUE"""),841562.0)</f>
        <v>841562</v>
      </c>
      <c r="B4148" s="2">
        <f>IFERROR(__xludf.DUMMYFUNCTION("""COMPUTED_VALUE"""),42744.69638953705)</f>
        <v>42744.69639</v>
      </c>
      <c r="C4148" s="1" t="str">
        <f>IFERROR(__xludf.DUMMYFUNCTION("""COMPUTED_VALUE"""),"treatment")</f>
        <v>treatment</v>
      </c>
      <c r="D4148" s="1" t="str">
        <f>IFERROR(__xludf.DUMMYFUNCTION("""COMPUTED_VALUE"""),"new_page")</f>
        <v>new_page</v>
      </c>
      <c r="E4148" s="1">
        <f>IFERROR(__xludf.DUMMYFUNCTION("""COMPUTED_VALUE"""),0.0)</f>
        <v>0</v>
      </c>
    </row>
    <row r="4149">
      <c r="A4149" s="1">
        <f>IFERROR(__xludf.DUMMYFUNCTION("""COMPUTED_VALUE"""),670075.0)</f>
        <v>670075</v>
      </c>
      <c r="B4149" s="2">
        <f>IFERROR(__xludf.DUMMYFUNCTION("""COMPUTED_VALUE"""),42747.652088747636)</f>
        <v>42747.65209</v>
      </c>
      <c r="C4149" s="1" t="str">
        <f>IFERROR(__xludf.DUMMYFUNCTION("""COMPUTED_VALUE"""),"control")</f>
        <v>control</v>
      </c>
      <c r="D4149" s="1" t="str">
        <f>IFERROR(__xludf.DUMMYFUNCTION("""COMPUTED_VALUE"""),"old_page")</f>
        <v>old_page</v>
      </c>
      <c r="E4149" s="1">
        <f>IFERROR(__xludf.DUMMYFUNCTION("""COMPUTED_VALUE"""),0.0)</f>
        <v>0</v>
      </c>
    </row>
    <row r="4150">
      <c r="A4150" s="1">
        <f>IFERROR(__xludf.DUMMYFUNCTION("""COMPUTED_VALUE"""),850361.0)</f>
        <v>850361</v>
      </c>
      <c r="B4150" s="2">
        <f>IFERROR(__xludf.DUMMYFUNCTION("""COMPUTED_VALUE"""),42748.80373069022)</f>
        <v>42748.80373</v>
      </c>
      <c r="C4150" s="1" t="str">
        <f>IFERROR(__xludf.DUMMYFUNCTION("""COMPUTED_VALUE"""),"treatment")</f>
        <v>treatment</v>
      </c>
      <c r="D4150" s="1" t="str">
        <f>IFERROR(__xludf.DUMMYFUNCTION("""COMPUTED_VALUE"""),"new_page")</f>
        <v>new_page</v>
      </c>
      <c r="E4150" s="1">
        <f>IFERROR(__xludf.DUMMYFUNCTION("""COMPUTED_VALUE"""),0.0)</f>
        <v>0</v>
      </c>
    </row>
    <row r="4151">
      <c r="A4151" s="1">
        <f>IFERROR(__xludf.DUMMYFUNCTION("""COMPUTED_VALUE"""),687435.0)</f>
        <v>687435</v>
      </c>
      <c r="B4151" s="2">
        <f>IFERROR(__xludf.DUMMYFUNCTION("""COMPUTED_VALUE"""),42758.78666584575)</f>
        <v>42758.78667</v>
      </c>
      <c r="C4151" s="1" t="str">
        <f>IFERROR(__xludf.DUMMYFUNCTION("""COMPUTED_VALUE"""),"control")</f>
        <v>control</v>
      </c>
      <c r="D4151" s="1" t="str">
        <f>IFERROR(__xludf.DUMMYFUNCTION("""COMPUTED_VALUE"""),"old_page")</f>
        <v>old_page</v>
      </c>
      <c r="E4151" s="1">
        <f>IFERROR(__xludf.DUMMYFUNCTION("""COMPUTED_VALUE"""),0.0)</f>
        <v>0</v>
      </c>
    </row>
    <row r="4152">
      <c r="A4152" s="1">
        <f>IFERROR(__xludf.DUMMYFUNCTION("""COMPUTED_VALUE"""),922886.0)</f>
        <v>922886</v>
      </c>
      <c r="B4152" s="2">
        <f>IFERROR(__xludf.DUMMYFUNCTION("""COMPUTED_VALUE"""),42754.69817622132)</f>
        <v>42754.69818</v>
      </c>
      <c r="C4152" s="1" t="str">
        <f>IFERROR(__xludf.DUMMYFUNCTION("""COMPUTED_VALUE"""),"treatment")</f>
        <v>treatment</v>
      </c>
      <c r="D4152" s="1" t="str">
        <f>IFERROR(__xludf.DUMMYFUNCTION("""COMPUTED_VALUE"""),"new_page")</f>
        <v>new_page</v>
      </c>
      <c r="E4152" s="1">
        <f>IFERROR(__xludf.DUMMYFUNCTION("""COMPUTED_VALUE"""),0.0)</f>
        <v>0</v>
      </c>
    </row>
    <row r="4153">
      <c r="A4153" s="1">
        <f>IFERROR(__xludf.DUMMYFUNCTION("""COMPUTED_VALUE"""),665770.0)</f>
        <v>665770</v>
      </c>
      <c r="B4153" s="2">
        <f>IFERROR(__xludf.DUMMYFUNCTION("""COMPUTED_VALUE"""),42755.143541602614)</f>
        <v>42755.14354</v>
      </c>
      <c r="C4153" s="1" t="str">
        <f>IFERROR(__xludf.DUMMYFUNCTION("""COMPUTED_VALUE"""),"treatment")</f>
        <v>treatment</v>
      </c>
      <c r="D4153" s="1" t="str">
        <f>IFERROR(__xludf.DUMMYFUNCTION("""COMPUTED_VALUE"""),"new_page")</f>
        <v>new_page</v>
      </c>
      <c r="E4153" s="1">
        <f>IFERROR(__xludf.DUMMYFUNCTION("""COMPUTED_VALUE"""),0.0)</f>
        <v>0</v>
      </c>
    </row>
    <row r="4154">
      <c r="A4154" s="1">
        <f>IFERROR(__xludf.DUMMYFUNCTION("""COMPUTED_VALUE"""),810498.0)</f>
        <v>810498</v>
      </c>
      <c r="B4154" s="2">
        <f>IFERROR(__xludf.DUMMYFUNCTION("""COMPUTED_VALUE"""),42757.70780323689)</f>
        <v>42757.7078</v>
      </c>
      <c r="C4154" s="1" t="str">
        <f>IFERROR(__xludf.DUMMYFUNCTION("""COMPUTED_VALUE"""),"control")</f>
        <v>control</v>
      </c>
      <c r="D4154" s="1" t="str">
        <f>IFERROR(__xludf.DUMMYFUNCTION("""COMPUTED_VALUE"""),"old_page")</f>
        <v>old_page</v>
      </c>
      <c r="E4154" s="1">
        <f>IFERROR(__xludf.DUMMYFUNCTION("""COMPUTED_VALUE"""),0.0)</f>
        <v>0</v>
      </c>
    </row>
    <row r="4155">
      <c r="A4155" s="1">
        <f>IFERROR(__xludf.DUMMYFUNCTION("""COMPUTED_VALUE"""),655112.0)</f>
        <v>655112</v>
      </c>
      <c r="B4155" s="2">
        <f>IFERROR(__xludf.DUMMYFUNCTION("""COMPUTED_VALUE"""),42757.219944539545)</f>
        <v>42757.21994</v>
      </c>
      <c r="C4155" s="1" t="str">
        <f>IFERROR(__xludf.DUMMYFUNCTION("""COMPUTED_VALUE"""),"control")</f>
        <v>control</v>
      </c>
      <c r="D4155" s="1" t="str">
        <f>IFERROR(__xludf.DUMMYFUNCTION("""COMPUTED_VALUE"""),"old_page")</f>
        <v>old_page</v>
      </c>
      <c r="E4155" s="1">
        <f>IFERROR(__xludf.DUMMYFUNCTION("""COMPUTED_VALUE"""),0.0)</f>
        <v>0</v>
      </c>
    </row>
    <row r="4156">
      <c r="A4156" s="1">
        <f>IFERROR(__xludf.DUMMYFUNCTION("""COMPUTED_VALUE"""),775538.0)</f>
        <v>775538</v>
      </c>
      <c r="B4156" s="2">
        <f>IFERROR(__xludf.DUMMYFUNCTION("""COMPUTED_VALUE"""),42750.8452191122)</f>
        <v>42750.84522</v>
      </c>
      <c r="C4156" s="1" t="str">
        <f>IFERROR(__xludf.DUMMYFUNCTION("""COMPUTED_VALUE"""),"control")</f>
        <v>control</v>
      </c>
      <c r="D4156" s="1" t="str">
        <f>IFERROR(__xludf.DUMMYFUNCTION("""COMPUTED_VALUE"""),"old_page")</f>
        <v>old_page</v>
      </c>
      <c r="E4156" s="1">
        <f>IFERROR(__xludf.DUMMYFUNCTION("""COMPUTED_VALUE"""),0.0)</f>
        <v>0</v>
      </c>
    </row>
    <row r="4157">
      <c r="A4157" s="1">
        <f>IFERROR(__xludf.DUMMYFUNCTION("""COMPUTED_VALUE"""),690448.0)</f>
        <v>690448</v>
      </c>
      <c r="B4157" s="2">
        <f>IFERROR(__xludf.DUMMYFUNCTION("""COMPUTED_VALUE"""),42738.919347942734)</f>
        <v>42738.91935</v>
      </c>
      <c r="C4157" s="1" t="str">
        <f>IFERROR(__xludf.DUMMYFUNCTION("""COMPUTED_VALUE"""),"control")</f>
        <v>control</v>
      </c>
      <c r="D4157" s="1" t="str">
        <f>IFERROR(__xludf.DUMMYFUNCTION("""COMPUTED_VALUE"""),"old_page")</f>
        <v>old_page</v>
      </c>
      <c r="E4157" s="1">
        <f>IFERROR(__xludf.DUMMYFUNCTION("""COMPUTED_VALUE"""),1.0)</f>
        <v>1</v>
      </c>
    </row>
    <row r="4158">
      <c r="A4158" s="1">
        <f>IFERROR(__xludf.DUMMYFUNCTION("""COMPUTED_VALUE"""),882845.0)</f>
        <v>882845</v>
      </c>
      <c r="B4158" s="2">
        <f>IFERROR(__xludf.DUMMYFUNCTION("""COMPUTED_VALUE"""),42742.47294018697)</f>
        <v>42742.47294</v>
      </c>
      <c r="C4158" s="1" t="str">
        <f>IFERROR(__xludf.DUMMYFUNCTION("""COMPUTED_VALUE"""),"control")</f>
        <v>control</v>
      </c>
      <c r="D4158" s="1" t="str">
        <f>IFERROR(__xludf.DUMMYFUNCTION("""COMPUTED_VALUE"""),"old_page")</f>
        <v>old_page</v>
      </c>
      <c r="E4158" s="1">
        <f>IFERROR(__xludf.DUMMYFUNCTION("""COMPUTED_VALUE"""),0.0)</f>
        <v>0</v>
      </c>
    </row>
    <row r="4159">
      <c r="A4159" s="1">
        <f>IFERROR(__xludf.DUMMYFUNCTION("""COMPUTED_VALUE"""),801361.0)</f>
        <v>801361</v>
      </c>
      <c r="B4159" s="2">
        <f>IFERROR(__xludf.DUMMYFUNCTION("""COMPUTED_VALUE"""),42749.28266191633)</f>
        <v>42749.28266</v>
      </c>
      <c r="C4159" s="1" t="str">
        <f>IFERROR(__xludf.DUMMYFUNCTION("""COMPUTED_VALUE"""),"treatment")</f>
        <v>treatment</v>
      </c>
      <c r="D4159" s="1" t="str">
        <f>IFERROR(__xludf.DUMMYFUNCTION("""COMPUTED_VALUE"""),"new_page")</f>
        <v>new_page</v>
      </c>
      <c r="E4159" s="1">
        <f>IFERROR(__xludf.DUMMYFUNCTION("""COMPUTED_VALUE"""),1.0)</f>
        <v>1</v>
      </c>
    </row>
    <row r="4160">
      <c r="A4160" s="1">
        <f>IFERROR(__xludf.DUMMYFUNCTION("""COMPUTED_VALUE"""),654850.0)</f>
        <v>654850</v>
      </c>
      <c r="B4160" s="2">
        <f>IFERROR(__xludf.DUMMYFUNCTION("""COMPUTED_VALUE"""),42738.50907162588)</f>
        <v>42738.50907</v>
      </c>
      <c r="C4160" s="1" t="str">
        <f>IFERROR(__xludf.DUMMYFUNCTION("""COMPUTED_VALUE"""),"control")</f>
        <v>control</v>
      </c>
      <c r="D4160" s="1" t="str">
        <f>IFERROR(__xludf.DUMMYFUNCTION("""COMPUTED_VALUE"""),"old_page")</f>
        <v>old_page</v>
      </c>
      <c r="E4160" s="1">
        <f>IFERROR(__xludf.DUMMYFUNCTION("""COMPUTED_VALUE"""),0.0)</f>
        <v>0</v>
      </c>
    </row>
    <row r="4161">
      <c r="A4161" s="1">
        <f>IFERROR(__xludf.DUMMYFUNCTION("""COMPUTED_VALUE"""),921366.0)</f>
        <v>921366</v>
      </c>
      <c r="B4161" s="2">
        <f>IFERROR(__xludf.DUMMYFUNCTION("""COMPUTED_VALUE"""),42751.47704798384)</f>
        <v>42751.47705</v>
      </c>
      <c r="C4161" s="1" t="str">
        <f>IFERROR(__xludf.DUMMYFUNCTION("""COMPUTED_VALUE"""),"treatment")</f>
        <v>treatment</v>
      </c>
      <c r="D4161" s="1" t="str">
        <f>IFERROR(__xludf.DUMMYFUNCTION("""COMPUTED_VALUE"""),"new_page")</f>
        <v>new_page</v>
      </c>
      <c r="E4161" s="1">
        <f>IFERROR(__xludf.DUMMYFUNCTION("""COMPUTED_VALUE"""),0.0)</f>
        <v>0</v>
      </c>
    </row>
    <row r="4162">
      <c r="A4162" s="1">
        <f>IFERROR(__xludf.DUMMYFUNCTION("""COMPUTED_VALUE"""),644386.0)</f>
        <v>644386</v>
      </c>
      <c r="B4162" s="2">
        <f>IFERROR(__xludf.DUMMYFUNCTION("""COMPUTED_VALUE"""),42743.89352576441)</f>
        <v>42743.89353</v>
      </c>
      <c r="C4162" s="1" t="str">
        <f>IFERROR(__xludf.DUMMYFUNCTION("""COMPUTED_VALUE"""),"treatment")</f>
        <v>treatment</v>
      </c>
      <c r="D4162" s="1" t="str">
        <f>IFERROR(__xludf.DUMMYFUNCTION("""COMPUTED_VALUE"""),"new_page")</f>
        <v>new_page</v>
      </c>
      <c r="E4162" s="1">
        <f>IFERROR(__xludf.DUMMYFUNCTION("""COMPUTED_VALUE"""),0.0)</f>
        <v>0</v>
      </c>
    </row>
    <row r="4163">
      <c r="A4163" s="1">
        <f>IFERROR(__xludf.DUMMYFUNCTION("""COMPUTED_VALUE"""),687622.0)</f>
        <v>687622</v>
      </c>
      <c r="B4163" s="2">
        <f>IFERROR(__xludf.DUMMYFUNCTION("""COMPUTED_VALUE"""),42741.51310485885)</f>
        <v>42741.5131</v>
      </c>
      <c r="C4163" s="1" t="str">
        <f>IFERROR(__xludf.DUMMYFUNCTION("""COMPUTED_VALUE"""),"treatment")</f>
        <v>treatment</v>
      </c>
      <c r="D4163" s="1" t="str">
        <f>IFERROR(__xludf.DUMMYFUNCTION("""COMPUTED_VALUE"""),"new_page")</f>
        <v>new_page</v>
      </c>
      <c r="E4163" s="1">
        <f>IFERROR(__xludf.DUMMYFUNCTION("""COMPUTED_VALUE"""),0.0)</f>
        <v>0</v>
      </c>
    </row>
    <row r="4164">
      <c r="A4164" s="1">
        <f>IFERROR(__xludf.DUMMYFUNCTION("""COMPUTED_VALUE"""),679905.0)</f>
        <v>679905</v>
      </c>
      <c r="B4164" s="2">
        <f>IFERROR(__xludf.DUMMYFUNCTION("""COMPUTED_VALUE"""),42742.117196146864)</f>
        <v>42742.1172</v>
      </c>
      <c r="C4164" s="1" t="str">
        <f>IFERROR(__xludf.DUMMYFUNCTION("""COMPUTED_VALUE"""),"treatment")</f>
        <v>treatment</v>
      </c>
      <c r="D4164" s="1" t="str">
        <f>IFERROR(__xludf.DUMMYFUNCTION("""COMPUTED_VALUE"""),"new_page")</f>
        <v>new_page</v>
      </c>
      <c r="E4164" s="1">
        <f>IFERROR(__xludf.DUMMYFUNCTION("""COMPUTED_VALUE"""),0.0)</f>
        <v>0</v>
      </c>
    </row>
    <row r="4165">
      <c r="A4165" s="1">
        <f>IFERROR(__xludf.DUMMYFUNCTION("""COMPUTED_VALUE"""),918894.0)</f>
        <v>918894</v>
      </c>
      <c r="B4165" s="2">
        <f>IFERROR(__xludf.DUMMYFUNCTION("""COMPUTED_VALUE"""),42744.672862504514)</f>
        <v>42744.67286</v>
      </c>
      <c r="C4165" s="1" t="str">
        <f>IFERROR(__xludf.DUMMYFUNCTION("""COMPUTED_VALUE"""),"control")</f>
        <v>control</v>
      </c>
      <c r="D4165" s="1" t="str">
        <f>IFERROR(__xludf.DUMMYFUNCTION("""COMPUTED_VALUE"""),"old_page")</f>
        <v>old_page</v>
      </c>
      <c r="E4165" s="1">
        <f>IFERROR(__xludf.DUMMYFUNCTION("""COMPUTED_VALUE"""),0.0)</f>
        <v>0</v>
      </c>
    </row>
    <row r="4166">
      <c r="A4166" s="1">
        <f>IFERROR(__xludf.DUMMYFUNCTION("""COMPUTED_VALUE"""),868298.0)</f>
        <v>868298</v>
      </c>
      <c r="B4166" s="2">
        <f>IFERROR(__xludf.DUMMYFUNCTION("""COMPUTED_VALUE"""),42747.0421347128)</f>
        <v>42747.04213</v>
      </c>
      <c r="C4166" s="1" t="str">
        <f>IFERROR(__xludf.DUMMYFUNCTION("""COMPUTED_VALUE"""),"control")</f>
        <v>control</v>
      </c>
      <c r="D4166" s="1" t="str">
        <f>IFERROR(__xludf.DUMMYFUNCTION("""COMPUTED_VALUE"""),"old_page")</f>
        <v>old_page</v>
      </c>
      <c r="E4166" s="1">
        <f>IFERROR(__xludf.DUMMYFUNCTION("""COMPUTED_VALUE"""),0.0)</f>
        <v>0</v>
      </c>
    </row>
    <row r="4167">
      <c r="A4167" s="1">
        <f>IFERROR(__xludf.DUMMYFUNCTION("""COMPUTED_VALUE"""),793152.0)</f>
        <v>793152</v>
      </c>
      <c r="B4167" s="2">
        <f>IFERROR(__xludf.DUMMYFUNCTION("""COMPUTED_VALUE"""),42737.58603203002)</f>
        <v>42737.58603</v>
      </c>
      <c r="C4167" s="1" t="str">
        <f>IFERROR(__xludf.DUMMYFUNCTION("""COMPUTED_VALUE"""),"control")</f>
        <v>control</v>
      </c>
      <c r="D4167" s="1" t="str">
        <f>IFERROR(__xludf.DUMMYFUNCTION("""COMPUTED_VALUE"""),"old_page")</f>
        <v>old_page</v>
      </c>
      <c r="E4167" s="1">
        <f>IFERROR(__xludf.DUMMYFUNCTION("""COMPUTED_VALUE"""),0.0)</f>
        <v>0</v>
      </c>
    </row>
    <row r="4168">
      <c r="A4168" s="1">
        <f>IFERROR(__xludf.DUMMYFUNCTION("""COMPUTED_VALUE"""),793820.0)</f>
        <v>793820</v>
      </c>
      <c r="B4168" s="2">
        <f>IFERROR(__xludf.DUMMYFUNCTION("""COMPUTED_VALUE"""),42745.9456581574)</f>
        <v>42745.94566</v>
      </c>
      <c r="C4168" s="1" t="str">
        <f>IFERROR(__xludf.DUMMYFUNCTION("""COMPUTED_VALUE"""),"control")</f>
        <v>control</v>
      </c>
      <c r="D4168" s="1" t="str">
        <f>IFERROR(__xludf.DUMMYFUNCTION("""COMPUTED_VALUE"""),"old_page")</f>
        <v>old_page</v>
      </c>
      <c r="E4168" s="1">
        <f>IFERROR(__xludf.DUMMYFUNCTION("""COMPUTED_VALUE"""),1.0)</f>
        <v>1</v>
      </c>
    </row>
    <row r="4169">
      <c r="A4169" s="1">
        <f>IFERROR(__xludf.DUMMYFUNCTION("""COMPUTED_VALUE"""),910910.0)</f>
        <v>910910</v>
      </c>
      <c r="B4169" s="2">
        <f>IFERROR(__xludf.DUMMYFUNCTION("""COMPUTED_VALUE"""),42741.4775859473)</f>
        <v>42741.47759</v>
      </c>
      <c r="C4169" s="1" t="str">
        <f>IFERROR(__xludf.DUMMYFUNCTION("""COMPUTED_VALUE"""),"treatment")</f>
        <v>treatment</v>
      </c>
      <c r="D4169" s="1" t="str">
        <f>IFERROR(__xludf.DUMMYFUNCTION("""COMPUTED_VALUE"""),"new_page")</f>
        <v>new_page</v>
      </c>
      <c r="E4169" s="1">
        <f>IFERROR(__xludf.DUMMYFUNCTION("""COMPUTED_VALUE"""),1.0)</f>
        <v>1</v>
      </c>
    </row>
    <row r="4170">
      <c r="A4170" s="1">
        <f>IFERROR(__xludf.DUMMYFUNCTION("""COMPUTED_VALUE"""),745605.0)</f>
        <v>745605</v>
      </c>
      <c r="B4170" s="2">
        <f>IFERROR(__xludf.DUMMYFUNCTION("""COMPUTED_VALUE"""),42755.2343595694)</f>
        <v>42755.23436</v>
      </c>
      <c r="C4170" s="1" t="str">
        <f>IFERROR(__xludf.DUMMYFUNCTION("""COMPUTED_VALUE"""),"control")</f>
        <v>control</v>
      </c>
      <c r="D4170" s="1" t="str">
        <f>IFERROR(__xludf.DUMMYFUNCTION("""COMPUTED_VALUE"""),"old_page")</f>
        <v>old_page</v>
      </c>
      <c r="E4170" s="1">
        <f>IFERROR(__xludf.DUMMYFUNCTION("""COMPUTED_VALUE"""),0.0)</f>
        <v>0</v>
      </c>
    </row>
    <row r="4171">
      <c r="A4171" s="1">
        <f>IFERROR(__xludf.DUMMYFUNCTION("""COMPUTED_VALUE"""),705379.0)</f>
        <v>705379</v>
      </c>
      <c r="B4171" s="2">
        <f>IFERROR(__xludf.DUMMYFUNCTION("""COMPUTED_VALUE"""),42742.18314801657)</f>
        <v>42742.18315</v>
      </c>
      <c r="C4171" s="1" t="str">
        <f>IFERROR(__xludf.DUMMYFUNCTION("""COMPUTED_VALUE"""),"treatment")</f>
        <v>treatment</v>
      </c>
      <c r="D4171" s="1" t="str">
        <f>IFERROR(__xludf.DUMMYFUNCTION("""COMPUTED_VALUE"""),"new_page")</f>
        <v>new_page</v>
      </c>
      <c r="E4171" s="1">
        <f>IFERROR(__xludf.DUMMYFUNCTION("""COMPUTED_VALUE"""),0.0)</f>
        <v>0</v>
      </c>
    </row>
    <row r="4172">
      <c r="A4172" s="1">
        <f>IFERROR(__xludf.DUMMYFUNCTION("""COMPUTED_VALUE"""),828206.0)</f>
        <v>828206</v>
      </c>
      <c r="B4172" s="2">
        <f>IFERROR(__xludf.DUMMYFUNCTION("""COMPUTED_VALUE"""),42756.73154285735)</f>
        <v>42756.73154</v>
      </c>
      <c r="C4172" s="1" t="str">
        <f>IFERROR(__xludf.DUMMYFUNCTION("""COMPUTED_VALUE"""),"control")</f>
        <v>control</v>
      </c>
      <c r="D4172" s="1" t="str">
        <f>IFERROR(__xludf.DUMMYFUNCTION("""COMPUTED_VALUE"""),"old_page")</f>
        <v>old_page</v>
      </c>
      <c r="E4172" s="1">
        <f>IFERROR(__xludf.DUMMYFUNCTION("""COMPUTED_VALUE"""),0.0)</f>
        <v>0</v>
      </c>
    </row>
    <row r="4173">
      <c r="A4173" s="1">
        <f>IFERROR(__xludf.DUMMYFUNCTION("""COMPUTED_VALUE"""),665173.0)</f>
        <v>665173</v>
      </c>
      <c r="B4173" s="2">
        <f>IFERROR(__xludf.DUMMYFUNCTION("""COMPUTED_VALUE"""),42755.47777537581)</f>
        <v>42755.47778</v>
      </c>
      <c r="C4173" s="1" t="str">
        <f>IFERROR(__xludf.DUMMYFUNCTION("""COMPUTED_VALUE"""),"treatment")</f>
        <v>treatment</v>
      </c>
      <c r="D4173" s="1" t="str">
        <f>IFERROR(__xludf.DUMMYFUNCTION("""COMPUTED_VALUE"""),"new_page")</f>
        <v>new_page</v>
      </c>
      <c r="E4173" s="1">
        <f>IFERROR(__xludf.DUMMYFUNCTION("""COMPUTED_VALUE"""),0.0)</f>
        <v>0</v>
      </c>
    </row>
    <row r="4174">
      <c r="A4174" s="1">
        <f>IFERROR(__xludf.DUMMYFUNCTION("""COMPUTED_VALUE"""),714250.0)</f>
        <v>714250</v>
      </c>
      <c r="B4174" s="2">
        <f>IFERROR(__xludf.DUMMYFUNCTION("""COMPUTED_VALUE"""),42745.413401264166)</f>
        <v>42745.4134</v>
      </c>
      <c r="C4174" s="1" t="str">
        <f>IFERROR(__xludf.DUMMYFUNCTION("""COMPUTED_VALUE"""),"treatment")</f>
        <v>treatment</v>
      </c>
      <c r="D4174" s="1" t="str">
        <f>IFERROR(__xludf.DUMMYFUNCTION("""COMPUTED_VALUE"""),"new_page")</f>
        <v>new_page</v>
      </c>
      <c r="E4174" s="1">
        <f>IFERROR(__xludf.DUMMYFUNCTION("""COMPUTED_VALUE"""),0.0)</f>
        <v>0</v>
      </c>
    </row>
    <row r="4175">
      <c r="A4175" s="1">
        <f>IFERROR(__xludf.DUMMYFUNCTION("""COMPUTED_VALUE"""),844686.0)</f>
        <v>844686</v>
      </c>
      <c r="B4175" s="2">
        <f>IFERROR(__xludf.DUMMYFUNCTION("""COMPUTED_VALUE"""),42739.148023356494)</f>
        <v>42739.14802</v>
      </c>
      <c r="C4175" s="1" t="str">
        <f>IFERROR(__xludf.DUMMYFUNCTION("""COMPUTED_VALUE"""),"treatment")</f>
        <v>treatment</v>
      </c>
      <c r="D4175" s="1" t="str">
        <f>IFERROR(__xludf.DUMMYFUNCTION("""COMPUTED_VALUE"""),"new_page")</f>
        <v>new_page</v>
      </c>
      <c r="E4175" s="1">
        <f>IFERROR(__xludf.DUMMYFUNCTION("""COMPUTED_VALUE"""),0.0)</f>
        <v>0</v>
      </c>
    </row>
    <row r="4176">
      <c r="A4176" s="1">
        <f>IFERROR(__xludf.DUMMYFUNCTION("""COMPUTED_VALUE"""),640996.0)</f>
        <v>640996</v>
      </c>
      <c r="B4176" s="2">
        <f>IFERROR(__xludf.DUMMYFUNCTION("""COMPUTED_VALUE"""),42757.40279346669)</f>
        <v>42757.40279</v>
      </c>
      <c r="C4176" s="1" t="str">
        <f>IFERROR(__xludf.DUMMYFUNCTION("""COMPUTED_VALUE"""),"control")</f>
        <v>control</v>
      </c>
      <c r="D4176" s="1" t="str">
        <f>IFERROR(__xludf.DUMMYFUNCTION("""COMPUTED_VALUE"""),"old_page")</f>
        <v>old_page</v>
      </c>
      <c r="E4176" s="1">
        <f>IFERROR(__xludf.DUMMYFUNCTION("""COMPUTED_VALUE"""),0.0)</f>
        <v>0</v>
      </c>
    </row>
    <row r="4177">
      <c r="A4177" s="1">
        <f>IFERROR(__xludf.DUMMYFUNCTION("""COMPUTED_VALUE"""),641242.0)</f>
        <v>641242</v>
      </c>
      <c r="B4177" s="2">
        <f>IFERROR(__xludf.DUMMYFUNCTION("""COMPUTED_VALUE"""),42755.01764008769)</f>
        <v>42755.01764</v>
      </c>
      <c r="C4177" s="1" t="str">
        <f>IFERROR(__xludf.DUMMYFUNCTION("""COMPUTED_VALUE"""),"control")</f>
        <v>control</v>
      </c>
      <c r="D4177" s="1" t="str">
        <f>IFERROR(__xludf.DUMMYFUNCTION("""COMPUTED_VALUE"""),"old_page")</f>
        <v>old_page</v>
      </c>
      <c r="E4177" s="1">
        <f>IFERROR(__xludf.DUMMYFUNCTION("""COMPUTED_VALUE"""),0.0)</f>
        <v>0</v>
      </c>
    </row>
    <row r="4178">
      <c r="A4178" s="1">
        <f>IFERROR(__xludf.DUMMYFUNCTION("""COMPUTED_VALUE"""),694968.0)</f>
        <v>694968</v>
      </c>
      <c r="B4178" s="2">
        <f>IFERROR(__xludf.DUMMYFUNCTION("""COMPUTED_VALUE"""),42753.20593676572)</f>
        <v>42753.20594</v>
      </c>
      <c r="C4178" s="1" t="str">
        <f>IFERROR(__xludf.DUMMYFUNCTION("""COMPUTED_VALUE"""),"control")</f>
        <v>control</v>
      </c>
      <c r="D4178" s="1" t="str">
        <f>IFERROR(__xludf.DUMMYFUNCTION("""COMPUTED_VALUE"""),"old_page")</f>
        <v>old_page</v>
      </c>
      <c r="E4178" s="1">
        <f>IFERROR(__xludf.DUMMYFUNCTION("""COMPUTED_VALUE"""),0.0)</f>
        <v>0</v>
      </c>
    </row>
    <row r="4179">
      <c r="A4179" s="1">
        <f>IFERROR(__xludf.DUMMYFUNCTION("""COMPUTED_VALUE"""),887832.0)</f>
        <v>887832</v>
      </c>
      <c r="B4179" s="2">
        <f>IFERROR(__xludf.DUMMYFUNCTION("""COMPUTED_VALUE"""),42746.53152685131)</f>
        <v>42746.53153</v>
      </c>
      <c r="C4179" s="1" t="str">
        <f>IFERROR(__xludf.DUMMYFUNCTION("""COMPUTED_VALUE"""),"treatment")</f>
        <v>treatment</v>
      </c>
      <c r="D4179" s="1" t="str">
        <f>IFERROR(__xludf.DUMMYFUNCTION("""COMPUTED_VALUE"""),"new_page")</f>
        <v>new_page</v>
      </c>
      <c r="E4179" s="1">
        <f>IFERROR(__xludf.DUMMYFUNCTION("""COMPUTED_VALUE"""),0.0)</f>
        <v>0</v>
      </c>
    </row>
    <row r="4180">
      <c r="A4180" s="1">
        <f>IFERROR(__xludf.DUMMYFUNCTION("""COMPUTED_VALUE"""),940647.0)</f>
        <v>940647</v>
      </c>
      <c r="B4180" s="2">
        <f>IFERROR(__xludf.DUMMYFUNCTION("""COMPUTED_VALUE"""),42743.98508152462)</f>
        <v>42743.98508</v>
      </c>
      <c r="C4180" s="1" t="str">
        <f>IFERROR(__xludf.DUMMYFUNCTION("""COMPUTED_VALUE"""),"treatment")</f>
        <v>treatment</v>
      </c>
      <c r="D4180" s="1" t="str">
        <f>IFERROR(__xludf.DUMMYFUNCTION("""COMPUTED_VALUE"""),"new_page")</f>
        <v>new_page</v>
      </c>
      <c r="E4180" s="1">
        <f>IFERROR(__xludf.DUMMYFUNCTION("""COMPUTED_VALUE"""),0.0)</f>
        <v>0</v>
      </c>
    </row>
    <row r="4181">
      <c r="A4181" s="1">
        <f>IFERROR(__xludf.DUMMYFUNCTION("""COMPUTED_VALUE"""),860079.0)</f>
        <v>860079</v>
      </c>
      <c r="B4181" s="2">
        <f>IFERROR(__xludf.DUMMYFUNCTION("""COMPUTED_VALUE"""),42757.56644782846)</f>
        <v>42757.56645</v>
      </c>
      <c r="C4181" s="1" t="str">
        <f>IFERROR(__xludf.DUMMYFUNCTION("""COMPUTED_VALUE"""),"control")</f>
        <v>control</v>
      </c>
      <c r="D4181" s="1" t="str">
        <f>IFERROR(__xludf.DUMMYFUNCTION("""COMPUTED_VALUE"""),"old_page")</f>
        <v>old_page</v>
      </c>
      <c r="E4181" s="1">
        <f>IFERROR(__xludf.DUMMYFUNCTION("""COMPUTED_VALUE"""),1.0)</f>
        <v>1</v>
      </c>
    </row>
    <row r="4182">
      <c r="A4182" s="1">
        <f>IFERROR(__xludf.DUMMYFUNCTION("""COMPUTED_VALUE"""),747414.0)</f>
        <v>747414</v>
      </c>
      <c r="B4182" s="2">
        <f>IFERROR(__xludf.DUMMYFUNCTION("""COMPUTED_VALUE"""),42737.89956605208)</f>
        <v>42737.89957</v>
      </c>
      <c r="C4182" s="1" t="str">
        <f>IFERROR(__xludf.DUMMYFUNCTION("""COMPUTED_VALUE"""),"control")</f>
        <v>control</v>
      </c>
      <c r="D4182" s="1" t="str">
        <f>IFERROR(__xludf.DUMMYFUNCTION("""COMPUTED_VALUE"""),"old_page")</f>
        <v>old_page</v>
      </c>
      <c r="E4182" s="1">
        <f>IFERROR(__xludf.DUMMYFUNCTION("""COMPUTED_VALUE"""),0.0)</f>
        <v>0</v>
      </c>
    </row>
    <row r="4183">
      <c r="A4183" s="1">
        <f>IFERROR(__xludf.DUMMYFUNCTION("""COMPUTED_VALUE"""),649069.0)</f>
        <v>649069</v>
      </c>
      <c r="B4183" s="2">
        <f>IFERROR(__xludf.DUMMYFUNCTION("""COMPUTED_VALUE"""),42756.15944271492)</f>
        <v>42756.15944</v>
      </c>
      <c r="C4183" s="1" t="str">
        <f>IFERROR(__xludf.DUMMYFUNCTION("""COMPUTED_VALUE"""),"control")</f>
        <v>control</v>
      </c>
      <c r="D4183" s="1" t="str">
        <f>IFERROR(__xludf.DUMMYFUNCTION("""COMPUTED_VALUE"""),"old_page")</f>
        <v>old_page</v>
      </c>
      <c r="E4183" s="1">
        <f>IFERROR(__xludf.DUMMYFUNCTION("""COMPUTED_VALUE"""),0.0)</f>
        <v>0</v>
      </c>
    </row>
    <row r="4184">
      <c r="A4184" s="1">
        <f>IFERROR(__xludf.DUMMYFUNCTION("""COMPUTED_VALUE"""),887815.0)</f>
        <v>887815</v>
      </c>
      <c r="B4184" s="2">
        <f>IFERROR(__xludf.DUMMYFUNCTION("""COMPUTED_VALUE"""),42753.52654464447)</f>
        <v>42753.52654</v>
      </c>
      <c r="C4184" s="1" t="str">
        <f>IFERROR(__xludf.DUMMYFUNCTION("""COMPUTED_VALUE"""),"control")</f>
        <v>control</v>
      </c>
      <c r="D4184" s="1" t="str">
        <f>IFERROR(__xludf.DUMMYFUNCTION("""COMPUTED_VALUE"""),"old_page")</f>
        <v>old_page</v>
      </c>
      <c r="E4184" s="1">
        <f>IFERROR(__xludf.DUMMYFUNCTION("""COMPUTED_VALUE"""),0.0)</f>
        <v>0</v>
      </c>
    </row>
    <row r="4185">
      <c r="A4185" s="1">
        <f>IFERROR(__xludf.DUMMYFUNCTION("""COMPUTED_VALUE"""),636990.0)</f>
        <v>636990</v>
      </c>
      <c r="B4185" s="2">
        <f>IFERROR(__xludf.DUMMYFUNCTION("""COMPUTED_VALUE"""),42757.69437714536)</f>
        <v>42757.69438</v>
      </c>
      <c r="C4185" s="1" t="str">
        <f>IFERROR(__xludf.DUMMYFUNCTION("""COMPUTED_VALUE"""),"treatment")</f>
        <v>treatment</v>
      </c>
      <c r="D4185" s="1" t="str">
        <f>IFERROR(__xludf.DUMMYFUNCTION("""COMPUTED_VALUE"""),"new_page")</f>
        <v>new_page</v>
      </c>
      <c r="E4185" s="1">
        <f>IFERROR(__xludf.DUMMYFUNCTION("""COMPUTED_VALUE"""),1.0)</f>
        <v>1</v>
      </c>
    </row>
    <row r="4186">
      <c r="A4186" s="1">
        <f>IFERROR(__xludf.DUMMYFUNCTION("""COMPUTED_VALUE"""),780296.0)</f>
        <v>780296</v>
      </c>
      <c r="B4186" s="2">
        <f>IFERROR(__xludf.DUMMYFUNCTION("""COMPUTED_VALUE"""),42752.29547926706)</f>
        <v>42752.29548</v>
      </c>
      <c r="C4186" s="1" t="str">
        <f>IFERROR(__xludf.DUMMYFUNCTION("""COMPUTED_VALUE"""),"treatment")</f>
        <v>treatment</v>
      </c>
      <c r="D4186" s="1" t="str">
        <f>IFERROR(__xludf.DUMMYFUNCTION("""COMPUTED_VALUE"""),"new_page")</f>
        <v>new_page</v>
      </c>
      <c r="E4186" s="1">
        <f>IFERROR(__xludf.DUMMYFUNCTION("""COMPUTED_VALUE"""),0.0)</f>
        <v>0</v>
      </c>
    </row>
    <row r="4187">
      <c r="A4187" s="1">
        <f>IFERROR(__xludf.DUMMYFUNCTION("""COMPUTED_VALUE"""),849567.0)</f>
        <v>849567</v>
      </c>
      <c r="B4187" s="2">
        <f>IFERROR(__xludf.DUMMYFUNCTION("""COMPUTED_VALUE"""),42757.80078255688)</f>
        <v>42757.80078</v>
      </c>
      <c r="C4187" s="1" t="str">
        <f>IFERROR(__xludf.DUMMYFUNCTION("""COMPUTED_VALUE"""),"control")</f>
        <v>control</v>
      </c>
      <c r="D4187" s="1" t="str">
        <f>IFERROR(__xludf.DUMMYFUNCTION("""COMPUTED_VALUE"""),"old_page")</f>
        <v>old_page</v>
      </c>
      <c r="E4187" s="1">
        <f>IFERROR(__xludf.DUMMYFUNCTION("""COMPUTED_VALUE"""),0.0)</f>
        <v>0</v>
      </c>
    </row>
    <row r="4188">
      <c r="A4188" s="1">
        <f>IFERROR(__xludf.DUMMYFUNCTION("""COMPUTED_VALUE"""),679787.0)</f>
        <v>679787</v>
      </c>
      <c r="B4188" s="2">
        <f>IFERROR(__xludf.DUMMYFUNCTION("""COMPUTED_VALUE"""),42755.93557432807)</f>
        <v>42755.93557</v>
      </c>
      <c r="C4188" s="1" t="str">
        <f>IFERROR(__xludf.DUMMYFUNCTION("""COMPUTED_VALUE"""),"treatment")</f>
        <v>treatment</v>
      </c>
      <c r="D4188" s="1" t="str">
        <f>IFERROR(__xludf.DUMMYFUNCTION("""COMPUTED_VALUE"""),"new_page")</f>
        <v>new_page</v>
      </c>
      <c r="E4188" s="1">
        <f>IFERROR(__xludf.DUMMYFUNCTION("""COMPUTED_VALUE"""),1.0)</f>
        <v>1</v>
      </c>
    </row>
    <row r="4189">
      <c r="A4189" s="1">
        <f>IFERROR(__xludf.DUMMYFUNCTION("""COMPUTED_VALUE"""),663936.0)</f>
        <v>663936</v>
      </c>
      <c r="B4189" s="2">
        <f>IFERROR(__xludf.DUMMYFUNCTION("""COMPUTED_VALUE"""),42740.360460169955)</f>
        <v>42740.36046</v>
      </c>
      <c r="C4189" s="1" t="str">
        <f>IFERROR(__xludf.DUMMYFUNCTION("""COMPUTED_VALUE"""),"control")</f>
        <v>control</v>
      </c>
      <c r="D4189" s="1" t="str">
        <f>IFERROR(__xludf.DUMMYFUNCTION("""COMPUTED_VALUE"""),"old_page")</f>
        <v>old_page</v>
      </c>
      <c r="E4189" s="1">
        <f>IFERROR(__xludf.DUMMYFUNCTION("""COMPUTED_VALUE"""),1.0)</f>
        <v>1</v>
      </c>
    </row>
    <row r="4190">
      <c r="A4190" s="1">
        <f>IFERROR(__xludf.DUMMYFUNCTION("""COMPUTED_VALUE"""),699556.0)</f>
        <v>699556</v>
      </c>
      <c r="B4190" s="2">
        <f>IFERROR(__xludf.DUMMYFUNCTION("""COMPUTED_VALUE"""),42747.64514823346)</f>
        <v>42747.64515</v>
      </c>
      <c r="C4190" s="1" t="str">
        <f>IFERROR(__xludf.DUMMYFUNCTION("""COMPUTED_VALUE"""),"control")</f>
        <v>control</v>
      </c>
      <c r="D4190" s="1" t="str">
        <f>IFERROR(__xludf.DUMMYFUNCTION("""COMPUTED_VALUE"""),"old_page")</f>
        <v>old_page</v>
      </c>
      <c r="E4190" s="1">
        <f>IFERROR(__xludf.DUMMYFUNCTION("""COMPUTED_VALUE"""),0.0)</f>
        <v>0</v>
      </c>
    </row>
    <row r="4191">
      <c r="A4191" s="1">
        <f>IFERROR(__xludf.DUMMYFUNCTION("""COMPUTED_VALUE"""),746138.0)</f>
        <v>746138</v>
      </c>
      <c r="B4191" s="2">
        <f>IFERROR(__xludf.DUMMYFUNCTION("""COMPUTED_VALUE"""),42745.19217003611)</f>
        <v>42745.19217</v>
      </c>
      <c r="C4191" s="1" t="str">
        <f>IFERROR(__xludf.DUMMYFUNCTION("""COMPUTED_VALUE"""),"control")</f>
        <v>control</v>
      </c>
      <c r="D4191" s="1" t="str">
        <f>IFERROR(__xludf.DUMMYFUNCTION("""COMPUTED_VALUE"""),"old_page")</f>
        <v>old_page</v>
      </c>
      <c r="E4191" s="1">
        <f>IFERROR(__xludf.DUMMYFUNCTION("""COMPUTED_VALUE"""),0.0)</f>
        <v>0</v>
      </c>
    </row>
    <row r="4192">
      <c r="A4192" s="1">
        <f>IFERROR(__xludf.DUMMYFUNCTION("""COMPUTED_VALUE"""),765078.0)</f>
        <v>765078</v>
      </c>
      <c r="B4192" s="2">
        <f>IFERROR(__xludf.DUMMYFUNCTION("""COMPUTED_VALUE"""),42740.23155457601)</f>
        <v>42740.23155</v>
      </c>
      <c r="C4192" s="1" t="str">
        <f>IFERROR(__xludf.DUMMYFUNCTION("""COMPUTED_VALUE"""),"control")</f>
        <v>control</v>
      </c>
      <c r="D4192" s="1" t="str">
        <f>IFERROR(__xludf.DUMMYFUNCTION("""COMPUTED_VALUE"""),"old_page")</f>
        <v>old_page</v>
      </c>
      <c r="E4192" s="1">
        <f>IFERROR(__xludf.DUMMYFUNCTION("""COMPUTED_VALUE"""),1.0)</f>
        <v>1</v>
      </c>
    </row>
    <row r="4193">
      <c r="A4193" s="1">
        <f>IFERROR(__xludf.DUMMYFUNCTION("""COMPUTED_VALUE"""),786233.0)</f>
        <v>786233</v>
      </c>
      <c r="B4193" s="2">
        <f>IFERROR(__xludf.DUMMYFUNCTION("""COMPUTED_VALUE"""),42745.25414185457)</f>
        <v>42745.25414</v>
      </c>
      <c r="C4193" s="1" t="str">
        <f>IFERROR(__xludf.DUMMYFUNCTION("""COMPUTED_VALUE"""),"control")</f>
        <v>control</v>
      </c>
      <c r="D4193" s="1" t="str">
        <f>IFERROR(__xludf.DUMMYFUNCTION("""COMPUTED_VALUE"""),"old_page")</f>
        <v>old_page</v>
      </c>
      <c r="E4193" s="1">
        <f>IFERROR(__xludf.DUMMYFUNCTION("""COMPUTED_VALUE"""),0.0)</f>
        <v>0</v>
      </c>
    </row>
    <row r="4194">
      <c r="A4194" s="1">
        <f>IFERROR(__xludf.DUMMYFUNCTION("""COMPUTED_VALUE"""),761549.0)</f>
        <v>761549</v>
      </c>
      <c r="B4194" s="2">
        <f>IFERROR(__xludf.DUMMYFUNCTION("""COMPUTED_VALUE"""),42757.29579278233)</f>
        <v>42757.29579</v>
      </c>
      <c r="C4194" s="1" t="str">
        <f>IFERROR(__xludf.DUMMYFUNCTION("""COMPUTED_VALUE"""),"control")</f>
        <v>control</v>
      </c>
      <c r="D4194" s="1" t="str">
        <f>IFERROR(__xludf.DUMMYFUNCTION("""COMPUTED_VALUE"""),"old_page")</f>
        <v>old_page</v>
      </c>
      <c r="E4194" s="1">
        <f>IFERROR(__xludf.DUMMYFUNCTION("""COMPUTED_VALUE"""),0.0)</f>
        <v>0</v>
      </c>
    </row>
    <row r="4195">
      <c r="A4195" s="1">
        <f>IFERROR(__xludf.DUMMYFUNCTION("""COMPUTED_VALUE"""),657051.0)</f>
        <v>657051</v>
      </c>
      <c r="B4195" s="2">
        <f>IFERROR(__xludf.DUMMYFUNCTION("""COMPUTED_VALUE"""),42740.09641224557)</f>
        <v>42740.09641</v>
      </c>
      <c r="C4195" s="1" t="str">
        <f>IFERROR(__xludf.DUMMYFUNCTION("""COMPUTED_VALUE"""),"treatment")</f>
        <v>treatment</v>
      </c>
      <c r="D4195" s="1" t="str">
        <f>IFERROR(__xludf.DUMMYFUNCTION("""COMPUTED_VALUE"""),"new_page")</f>
        <v>new_page</v>
      </c>
      <c r="E4195" s="1">
        <f>IFERROR(__xludf.DUMMYFUNCTION("""COMPUTED_VALUE"""),1.0)</f>
        <v>1</v>
      </c>
    </row>
    <row r="4196">
      <c r="A4196" s="1">
        <f>IFERROR(__xludf.DUMMYFUNCTION("""COMPUTED_VALUE"""),631829.0)</f>
        <v>631829</v>
      </c>
      <c r="B4196" s="2">
        <f>IFERROR(__xludf.DUMMYFUNCTION("""COMPUTED_VALUE"""),42755.85921029271)</f>
        <v>42755.85921</v>
      </c>
      <c r="C4196" s="1" t="str">
        <f>IFERROR(__xludf.DUMMYFUNCTION("""COMPUTED_VALUE"""),"treatment")</f>
        <v>treatment</v>
      </c>
      <c r="D4196" s="1" t="str">
        <f>IFERROR(__xludf.DUMMYFUNCTION("""COMPUTED_VALUE"""),"new_page")</f>
        <v>new_page</v>
      </c>
      <c r="E4196" s="1">
        <f>IFERROR(__xludf.DUMMYFUNCTION("""COMPUTED_VALUE"""),1.0)</f>
        <v>1</v>
      </c>
    </row>
    <row r="4197">
      <c r="A4197" s="1">
        <f>IFERROR(__xludf.DUMMYFUNCTION("""COMPUTED_VALUE"""),787352.0)</f>
        <v>787352</v>
      </c>
      <c r="B4197" s="2">
        <f>IFERROR(__xludf.DUMMYFUNCTION("""COMPUTED_VALUE"""),42752.40972248535)</f>
        <v>42752.40972</v>
      </c>
      <c r="C4197" s="1" t="str">
        <f>IFERROR(__xludf.DUMMYFUNCTION("""COMPUTED_VALUE"""),"treatment")</f>
        <v>treatment</v>
      </c>
      <c r="D4197" s="1" t="str">
        <f>IFERROR(__xludf.DUMMYFUNCTION("""COMPUTED_VALUE"""),"new_page")</f>
        <v>new_page</v>
      </c>
      <c r="E4197" s="1">
        <f>IFERROR(__xludf.DUMMYFUNCTION("""COMPUTED_VALUE"""),0.0)</f>
        <v>0</v>
      </c>
    </row>
    <row r="4198">
      <c r="A4198" s="1">
        <f>IFERROR(__xludf.DUMMYFUNCTION("""COMPUTED_VALUE"""),775108.0)</f>
        <v>775108</v>
      </c>
      <c r="B4198" s="2">
        <f>IFERROR(__xludf.DUMMYFUNCTION("""COMPUTED_VALUE"""),42751.4621748257)</f>
        <v>42751.46217</v>
      </c>
      <c r="C4198" s="1" t="str">
        <f>IFERROR(__xludf.DUMMYFUNCTION("""COMPUTED_VALUE"""),"control")</f>
        <v>control</v>
      </c>
      <c r="D4198" s="1" t="str">
        <f>IFERROR(__xludf.DUMMYFUNCTION("""COMPUTED_VALUE"""),"old_page")</f>
        <v>old_page</v>
      </c>
      <c r="E4198" s="1">
        <f>IFERROR(__xludf.DUMMYFUNCTION("""COMPUTED_VALUE"""),0.0)</f>
        <v>0</v>
      </c>
    </row>
    <row r="4199">
      <c r="A4199" s="1">
        <f>IFERROR(__xludf.DUMMYFUNCTION("""COMPUTED_VALUE"""),704844.0)</f>
        <v>704844</v>
      </c>
      <c r="B4199" s="2">
        <f>IFERROR(__xludf.DUMMYFUNCTION("""COMPUTED_VALUE"""),42746.743498102245)</f>
        <v>42746.7435</v>
      </c>
      <c r="C4199" s="1" t="str">
        <f>IFERROR(__xludf.DUMMYFUNCTION("""COMPUTED_VALUE"""),"control")</f>
        <v>control</v>
      </c>
      <c r="D4199" s="1" t="str">
        <f>IFERROR(__xludf.DUMMYFUNCTION("""COMPUTED_VALUE"""),"old_page")</f>
        <v>old_page</v>
      </c>
      <c r="E4199" s="1">
        <f>IFERROR(__xludf.DUMMYFUNCTION("""COMPUTED_VALUE"""),0.0)</f>
        <v>0</v>
      </c>
    </row>
    <row r="4200">
      <c r="A4200" s="1">
        <f>IFERROR(__xludf.DUMMYFUNCTION("""COMPUTED_VALUE"""),705757.0)</f>
        <v>705757</v>
      </c>
      <c r="B4200" s="2">
        <f>IFERROR(__xludf.DUMMYFUNCTION("""COMPUTED_VALUE"""),42748.46670473651)</f>
        <v>42748.4667</v>
      </c>
      <c r="C4200" s="1" t="str">
        <f>IFERROR(__xludf.DUMMYFUNCTION("""COMPUTED_VALUE"""),"treatment")</f>
        <v>treatment</v>
      </c>
      <c r="D4200" s="1" t="str">
        <f>IFERROR(__xludf.DUMMYFUNCTION("""COMPUTED_VALUE"""),"new_page")</f>
        <v>new_page</v>
      </c>
      <c r="E4200" s="1">
        <f>IFERROR(__xludf.DUMMYFUNCTION("""COMPUTED_VALUE"""),0.0)</f>
        <v>0</v>
      </c>
    </row>
    <row r="4201">
      <c r="A4201" s="1">
        <f>IFERROR(__xludf.DUMMYFUNCTION("""COMPUTED_VALUE"""),748434.0)</f>
        <v>748434</v>
      </c>
      <c r="B4201" s="2">
        <f>IFERROR(__xludf.DUMMYFUNCTION("""COMPUTED_VALUE"""),42756.66402822134)</f>
        <v>42756.66403</v>
      </c>
      <c r="C4201" s="1" t="str">
        <f>IFERROR(__xludf.DUMMYFUNCTION("""COMPUTED_VALUE"""),"control")</f>
        <v>control</v>
      </c>
      <c r="D4201" s="1" t="str">
        <f>IFERROR(__xludf.DUMMYFUNCTION("""COMPUTED_VALUE"""),"old_page")</f>
        <v>old_page</v>
      </c>
      <c r="E4201" s="1">
        <f>IFERROR(__xludf.DUMMYFUNCTION("""COMPUTED_VALUE"""),1.0)</f>
        <v>1</v>
      </c>
    </row>
    <row r="4202">
      <c r="A4202" s="1">
        <f>IFERROR(__xludf.DUMMYFUNCTION("""COMPUTED_VALUE"""),782045.0)</f>
        <v>782045</v>
      </c>
      <c r="B4202" s="2">
        <f>IFERROR(__xludf.DUMMYFUNCTION("""COMPUTED_VALUE"""),42755.28224490485)</f>
        <v>42755.28224</v>
      </c>
      <c r="C4202" s="1" t="str">
        <f>IFERROR(__xludf.DUMMYFUNCTION("""COMPUTED_VALUE"""),"treatment")</f>
        <v>treatment</v>
      </c>
      <c r="D4202" s="1" t="str">
        <f>IFERROR(__xludf.DUMMYFUNCTION("""COMPUTED_VALUE"""),"new_page")</f>
        <v>new_page</v>
      </c>
      <c r="E4202" s="1">
        <f>IFERROR(__xludf.DUMMYFUNCTION("""COMPUTED_VALUE"""),0.0)</f>
        <v>0</v>
      </c>
    </row>
    <row r="4203">
      <c r="A4203" s="1">
        <f>IFERROR(__xludf.DUMMYFUNCTION("""COMPUTED_VALUE"""),873756.0)</f>
        <v>873756</v>
      </c>
      <c r="B4203" s="2">
        <f>IFERROR(__xludf.DUMMYFUNCTION("""COMPUTED_VALUE"""),42754.07858700927)</f>
        <v>42754.07859</v>
      </c>
      <c r="C4203" s="1" t="str">
        <f>IFERROR(__xludf.DUMMYFUNCTION("""COMPUTED_VALUE"""),"treatment")</f>
        <v>treatment</v>
      </c>
      <c r="D4203" s="1" t="str">
        <f>IFERROR(__xludf.DUMMYFUNCTION("""COMPUTED_VALUE"""),"new_page")</f>
        <v>new_page</v>
      </c>
      <c r="E4203" s="1">
        <f>IFERROR(__xludf.DUMMYFUNCTION("""COMPUTED_VALUE"""),0.0)</f>
        <v>0</v>
      </c>
    </row>
    <row r="4204">
      <c r="A4204" s="1">
        <f>IFERROR(__xludf.DUMMYFUNCTION("""COMPUTED_VALUE"""),728978.0)</f>
        <v>728978</v>
      </c>
      <c r="B4204" s="2">
        <f>IFERROR(__xludf.DUMMYFUNCTION("""COMPUTED_VALUE"""),42746.81090813282)</f>
        <v>42746.81091</v>
      </c>
      <c r="C4204" s="1" t="str">
        <f>IFERROR(__xludf.DUMMYFUNCTION("""COMPUTED_VALUE"""),"treatment")</f>
        <v>treatment</v>
      </c>
      <c r="D4204" s="1" t="str">
        <f>IFERROR(__xludf.DUMMYFUNCTION("""COMPUTED_VALUE"""),"new_page")</f>
        <v>new_page</v>
      </c>
      <c r="E4204" s="1">
        <f>IFERROR(__xludf.DUMMYFUNCTION("""COMPUTED_VALUE"""),0.0)</f>
        <v>0</v>
      </c>
    </row>
    <row r="4205">
      <c r="A4205" s="1">
        <f>IFERROR(__xludf.DUMMYFUNCTION("""COMPUTED_VALUE"""),764487.0)</f>
        <v>764487</v>
      </c>
      <c r="B4205" s="2">
        <f>IFERROR(__xludf.DUMMYFUNCTION("""COMPUTED_VALUE"""),42756.666360132665)</f>
        <v>42756.66636</v>
      </c>
      <c r="C4205" s="1" t="str">
        <f>IFERROR(__xludf.DUMMYFUNCTION("""COMPUTED_VALUE"""),"treatment")</f>
        <v>treatment</v>
      </c>
      <c r="D4205" s="1" t="str">
        <f>IFERROR(__xludf.DUMMYFUNCTION("""COMPUTED_VALUE"""),"new_page")</f>
        <v>new_page</v>
      </c>
      <c r="E4205" s="1">
        <f>IFERROR(__xludf.DUMMYFUNCTION("""COMPUTED_VALUE"""),0.0)</f>
        <v>0</v>
      </c>
    </row>
    <row r="4206">
      <c r="A4206" s="1">
        <f>IFERROR(__xludf.DUMMYFUNCTION("""COMPUTED_VALUE"""),816057.0)</f>
        <v>816057</v>
      </c>
      <c r="B4206" s="2">
        <f>IFERROR(__xludf.DUMMYFUNCTION("""COMPUTED_VALUE"""),42755.99738744812)</f>
        <v>42755.99739</v>
      </c>
      <c r="C4206" s="1" t="str">
        <f>IFERROR(__xludf.DUMMYFUNCTION("""COMPUTED_VALUE"""),"control")</f>
        <v>control</v>
      </c>
      <c r="D4206" s="1" t="str">
        <f>IFERROR(__xludf.DUMMYFUNCTION("""COMPUTED_VALUE"""),"old_page")</f>
        <v>old_page</v>
      </c>
      <c r="E4206" s="1">
        <f>IFERROR(__xludf.DUMMYFUNCTION("""COMPUTED_VALUE"""),0.0)</f>
        <v>0</v>
      </c>
    </row>
    <row r="4207">
      <c r="A4207" s="1">
        <f>IFERROR(__xludf.DUMMYFUNCTION("""COMPUTED_VALUE"""),906926.0)</f>
        <v>906926</v>
      </c>
      <c r="B4207" s="2">
        <f>IFERROR(__xludf.DUMMYFUNCTION("""COMPUTED_VALUE"""),42751.48873108013)</f>
        <v>42751.48873</v>
      </c>
      <c r="C4207" s="1" t="str">
        <f>IFERROR(__xludf.DUMMYFUNCTION("""COMPUTED_VALUE"""),"control")</f>
        <v>control</v>
      </c>
      <c r="D4207" s="1" t="str">
        <f>IFERROR(__xludf.DUMMYFUNCTION("""COMPUTED_VALUE"""),"old_page")</f>
        <v>old_page</v>
      </c>
      <c r="E4207" s="1">
        <f>IFERROR(__xludf.DUMMYFUNCTION("""COMPUTED_VALUE"""),0.0)</f>
        <v>0</v>
      </c>
    </row>
    <row r="4208">
      <c r="A4208" s="1">
        <f>IFERROR(__xludf.DUMMYFUNCTION("""COMPUTED_VALUE"""),748226.0)</f>
        <v>748226</v>
      </c>
      <c r="B4208" s="2">
        <f>IFERROR(__xludf.DUMMYFUNCTION("""COMPUTED_VALUE"""),42751.16815566678)</f>
        <v>42751.16816</v>
      </c>
      <c r="C4208" s="1" t="str">
        <f>IFERROR(__xludf.DUMMYFUNCTION("""COMPUTED_VALUE"""),"control")</f>
        <v>control</v>
      </c>
      <c r="D4208" s="1" t="str">
        <f>IFERROR(__xludf.DUMMYFUNCTION("""COMPUTED_VALUE"""),"old_page")</f>
        <v>old_page</v>
      </c>
      <c r="E4208" s="1">
        <f>IFERROR(__xludf.DUMMYFUNCTION("""COMPUTED_VALUE"""),0.0)</f>
        <v>0</v>
      </c>
    </row>
    <row r="4209">
      <c r="A4209" s="1">
        <f>IFERROR(__xludf.DUMMYFUNCTION("""COMPUTED_VALUE"""),698250.0)</f>
        <v>698250</v>
      </c>
      <c r="B4209" s="2">
        <f>IFERROR(__xludf.DUMMYFUNCTION("""COMPUTED_VALUE"""),42738.40108571974)</f>
        <v>42738.40109</v>
      </c>
      <c r="C4209" s="1" t="str">
        <f>IFERROR(__xludf.DUMMYFUNCTION("""COMPUTED_VALUE"""),"control")</f>
        <v>control</v>
      </c>
      <c r="D4209" s="1" t="str">
        <f>IFERROR(__xludf.DUMMYFUNCTION("""COMPUTED_VALUE"""),"old_page")</f>
        <v>old_page</v>
      </c>
      <c r="E4209" s="1">
        <f>IFERROR(__xludf.DUMMYFUNCTION("""COMPUTED_VALUE"""),0.0)</f>
        <v>0</v>
      </c>
    </row>
    <row r="4210">
      <c r="A4210" s="1">
        <f>IFERROR(__xludf.DUMMYFUNCTION("""COMPUTED_VALUE"""),706304.0)</f>
        <v>706304</v>
      </c>
      <c r="B4210" s="2">
        <f>IFERROR(__xludf.DUMMYFUNCTION("""COMPUTED_VALUE"""),42744.03380160818)</f>
        <v>42744.0338</v>
      </c>
      <c r="C4210" s="1" t="str">
        <f>IFERROR(__xludf.DUMMYFUNCTION("""COMPUTED_VALUE"""),"control")</f>
        <v>control</v>
      </c>
      <c r="D4210" s="1" t="str">
        <f>IFERROR(__xludf.DUMMYFUNCTION("""COMPUTED_VALUE"""),"old_page")</f>
        <v>old_page</v>
      </c>
      <c r="E4210" s="1">
        <f>IFERROR(__xludf.DUMMYFUNCTION("""COMPUTED_VALUE"""),0.0)</f>
        <v>0</v>
      </c>
    </row>
    <row r="4211">
      <c r="A4211" s="1">
        <f>IFERROR(__xludf.DUMMYFUNCTION("""COMPUTED_VALUE"""),853275.0)</f>
        <v>853275</v>
      </c>
      <c r="B4211" s="2">
        <f>IFERROR(__xludf.DUMMYFUNCTION("""COMPUTED_VALUE"""),42746.92630990908)</f>
        <v>42746.92631</v>
      </c>
      <c r="C4211" s="1" t="str">
        <f>IFERROR(__xludf.DUMMYFUNCTION("""COMPUTED_VALUE"""),"control")</f>
        <v>control</v>
      </c>
      <c r="D4211" s="1" t="str">
        <f>IFERROR(__xludf.DUMMYFUNCTION("""COMPUTED_VALUE"""),"old_page")</f>
        <v>old_page</v>
      </c>
      <c r="E4211" s="1">
        <f>IFERROR(__xludf.DUMMYFUNCTION("""COMPUTED_VALUE"""),0.0)</f>
        <v>0</v>
      </c>
    </row>
    <row r="4212">
      <c r="A4212" s="1">
        <f>IFERROR(__xludf.DUMMYFUNCTION("""COMPUTED_VALUE"""),902845.0)</f>
        <v>902845</v>
      </c>
      <c r="B4212" s="2">
        <f>IFERROR(__xludf.DUMMYFUNCTION("""COMPUTED_VALUE"""),42755.31433731371)</f>
        <v>42755.31434</v>
      </c>
      <c r="C4212" s="1" t="str">
        <f>IFERROR(__xludf.DUMMYFUNCTION("""COMPUTED_VALUE"""),"control")</f>
        <v>control</v>
      </c>
      <c r="D4212" s="1" t="str">
        <f>IFERROR(__xludf.DUMMYFUNCTION("""COMPUTED_VALUE"""),"old_page")</f>
        <v>old_page</v>
      </c>
      <c r="E4212" s="1">
        <f>IFERROR(__xludf.DUMMYFUNCTION("""COMPUTED_VALUE"""),0.0)</f>
        <v>0</v>
      </c>
    </row>
    <row r="4213">
      <c r="A4213" s="1">
        <f>IFERROR(__xludf.DUMMYFUNCTION("""COMPUTED_VALUE"""),651588.0)</f>
        <v>651588</v>
      </c>
      <c r="B4213" s="2">
        <f>IFERROR(__xludf.DUMMYFUNCTION("""COMPUTED_VALUE"""),42751.20065108295)</f>
        <v>42751.20065</v>
      </c>
      <c r="C4213" s="1" t="str">
        <f>IFERROR(__xludf.DUMMYFUNCTION("""COMPUTED_VALUE"""),"control")</f>
        <v>control</v>
      </c>
      <c r="D4213" s="1" t="str">
        <f>IFERROR(__xludf.DUMMYFUNCTION("""COMPUTED_VALUE"""),"old_page")</f>
        <v>old_page</v>
      </c>
      <c r="E4213" s="1">
        <f>IFERROR(__xludf.DUMMYFUNCTION("""COMPUTED_VALUE"""),0.0)</f>
        <v>0</v>
      </c>
    </row>
    <row r="4214">
      <c r="A4214" s="1">
        <f>IFERROR(__xludf.DUMMYFUNCTION("""COMPUTED_VALUE"""),890287.0)</f>
        <v>890287</v>
      </c>
      <c r="B4214" s="2">
        <f>IFERROR(__xludf.DUMMYFUNCTION("""COMPUTED_VALUE"""),42751.5713704617)</f>
        <v>42751.57137</v>
      </c>
      <c r="C4214" s="1" t="str">
        <f>IFERROR(__xludf.DUMMYFUNCTION("""COMPUTED_VALUE"""),"treatment")</f>
        <v>treatment</v>
      </c>
      <c r="D4214" s="1" t="str">
        <f>IFERROR(__xludf.DUMMYFUNCTION("""COMPUTED_VALUE"""),"new_page")</f>
        <v>new_page</v>
      </c>
      <c r="E4214" s="1">
        <f>IFERROR(__xludf.DUMMYFUNCTION("""COMPUTED_VALUE"""),0.0)</f>
        <v>0</v>
      </c>
    </row>
    <row r="4215">
      <c r="A4215" s="1">
        <f>IFERROR(__xludf.DUMMYFUNCTION("""COMPUTED_VALUE"""),709303.0)</f>
        <v>709303</v>
      </c>
      <c r="B4215" s="2">
        <f>IFERROR(__xludf.DUMMYFUNCTION("""COMPUTED_VALUE"""),42756.392596602775)</f>
        <v>42756.3926</v>
      </c>
      <c r="C4215" s="1" t="str">
        <f>IFERROR(__xludf.DUMMYFUNCTION("""COMPUTED_VALUE"""),"control")</f>
        <v>control</v>
      </c>
      <c r="D4215" s="1" t="str">
        <f>IFERROR(__xludf.DUMMYFUNCTION("""COMPUTED_VALUE"""),"old_page")</f>
        <v>old_page</v>
      </c>
      <c r="E4215" s="1">
        <f>IFERROR(__xludf.DUMMYFUNCTION("""COMPUTED_VALUE"""),0.0)</f>
        <v>0</v>
      </c>
    </row>
    <row r="4216">
      <c r="A4216" s="1">
        <f>IFERROR(__xludf.DUMMYFUNCTION("""COMPUTED_VALUE"""),877885.0)</f>
        <v>877885</v>
      </c>
      <c r="B4216" s="2">
        <f>IFERROR(__xludf.DUMMYFUNCTION("""COMPUTED_VALUE"""),42752.060467009396)</f>
        <v>42752.06047</v>
      </c>
      <c r="C4216" s="1" t="str">
        <f>IFERROR(__xludf.DUMMYFUNCTION("""COMPUTED_VALUE"""),"treatment")</f>
        <v>treatment</v>
      </c>
      <c r="D4216" s="1" t="str">
        <f>IFERROR(__xludf.DUMMYFUNCTION("""COMPUTED_VALUE"""),"new_page")</f>
        <v>new_page</v>
      </c>
      <c r="E4216" s="1">
        <f>IFERROR(__xludf.DUMMYFUNCTION("""COMPUTED_VALUE"""),0.0)</f>
        <v>0</v>
      </c>
    </row>
    <row r="4217">
      <c r="A4217" s="1">
        <f>IFERROR(__xludf.DUMMYFUNCTION("""COMPUTED_VALUE"""),672727.0)</f>
        <v>672727</v>
      </c>
      <c r="B4217" s="2">
        <f>IFERROR(__xludf.DUMMYFUNCTION("""COMPUTED_VALUE"""),42741.73818339925)</f>
        <v>42741.73818</v>
      </c>
      <c r="C4217" s="1" t="str">
        <f>IFERROR(__xludf.DUMMYFUNCTION("""COMPUTED_VALUE"""),"treatment")</f>
        <v>treatment</v>
      </c>
      <c r="D4217" s="1" t="str">
        <f>IFERROR(__xludf.DUMMYFUNCTION("""COMPUTED_VALUE"""),"new_page")</f>
        <v>new_page</v>
      </c>
      <c r="E4217" s="1">
        <f>IFERROR(__xludf.DUMMYFUNCTION("""COMPUTED_VALUE"""),0.0)</f>
        <v>0</v>
      </c>
    </row>
    <row r="4218">
      <c r="A4218" s="1">
        <f>IFERROR(__xludf.DUMMYFUNCTION("""COMPUTED_VALUE"""),774164.0)</f>
        <v>774164</v>
      </c>
      <c r="B4218" s="2">
        <f>IFERROR(__xludf.DUMMYFUNCTION("""COMPUTED_VALUE"""),42746.26606521148)</f>
        <v>42746.26607</v>
      </c>
      <c r="C4218" s="1" t="str">
        <f>IFERROR(__xludf.DUMMYFUNCTION("""COMPUTED_VALUE"""),"control")</f>
        <v>control</v>
      </c>
      <c r="D4218" s="1" t="str">
        <f>IFERROR(__xludf.DUMMYFUNCTION("""COMPUTED_VALUE"""),"old_page")</f>
        <v>old_page</v>
      </c>
      <c r="E4218" s="1">
        <f>IFERROR(__xludf.DUMMYFUNCTION("""COMPUTED_VALUE"""),0.0)</f>
        <v>0</v>
      </c>
    </row>
    <row r="4219">
      <c r="A4219" s="1">
        <f>IFERROR(__xludf.DUMMYFUNCTION("""COMPUTED_VALUE"""),794829.0)</f>
        <v>794829</v>
      </c>
      <c r="B4219" s="2">
        <f>IFERROR(__xludf.DUMMYFUNCTION("""COMPUTED_VALUE"""),42744.84664255472)</f>
        <v>42744.84664</v>
      </c>
      <c r="C4219" s="1" t="str">
        <f>IFERROR(__xludf.DUMMYFUNCTION("""COMPUTED_VALUE"""),"control")</f>
        <v>control</v>
      </c>
      <c r="D4219" s="1" t="str">
        <f>IFERROR(__xludf.DUMMYFUNCTION("""COMPUTED_VALUE"""),"old_page")</f>
        <v>old_page</v>
      </c>
      <c r="E4219" s="1">
        <f>IFERROR(__xludf.DUMMYFUNCTION("""COMPUTED_VALUE"""),0.0)</f>
        <v>0</v>
      </c>
    </row>
    <row r="4220">
      <c r="A4220" s="1">
        <f>IFERROR(__xludf.DUMMYFUNCTION("""COMPUTED_VALUE"""),681622.0)</f>
        <v>681622</v>
      </c>
      <c r="B4220" s="2">
        <f>IFERROR(__xludf.DUMMYFUNCTION("""COMPUTED_VALUE"""),42741.935772416065)</f>
        <v>42741.93577</v>
      </c>
      <c r="C4220" s="1" t="str">
        <f>IFERROR(__xludf.DUMMYFUNCTION("""COMPUTED_VALUE"""),"treatment")</f>
        <v>treatment</v>
      </c>
      <c r="D4220" s="1" t="str">
        <f>IFERROR(__xludf.DUMMYFUNCTION("""COMPUTED_VALUE"""),"new_page")</f>
        <v>new_page</v>
      </c>
      <c r="E4220" s="1">
        <f>IFERROR(__xludf.DUMMYFUNCTION("""COMPUTED_VALUE"""),0.0)</f>
        <v>0</v>
      </c>
    </row>
    <row r="4221">
      <c r="A4221" s="1">
        <f>IFERROR(__xludf.DUMMYFUNCTION("""COMPUTED_VALUE"""),659855.0)</f>
        <v>659855</v>
      </c>
      <c r="B4221" s="2">
        <f>IFERROR(__xludf.DUMMYFUNCTION("""COMPUTED_VALUE"""),42756.77307763146)</f>
        <v>42756.77308</v>
      </c>
      <c r="C4221" s="1" t="str">
        <f>IFERROR(__xludf.DUMMYFUNCTION("""COMPUTED_VALUE"""),"control")</f>
        <v>control</v>
      </c>
      <c r="D4221" s="1" t="str">
        <f>IFERROR(__xludf.DUMMYFUNCTION("""COMPUTED_VALUE"""),"old_page")</f>
        <v>old_page</v>
      </c>
      <c r="E4221" s="1">
        <f>IFERROR(__xludf.DUMMYFUNCTION("""COMPUTED_VALUE"""),0.0)</f>
        <v>0</v>
      </c>
    </row>
    <row r="4222">
      <c r="A4222" s="1">
        <f>IFERROR(__xludf.DUMMYFUNCTION("""COMPUTED_VALUE"""),811770.0)</f>
        <v>811770</v>
      </c>
      <c r="B4222" s="2">
        <f>IFERROR(__xludf.DUMMYFUNCTION("""COMPUTED_VALUE"""),42748.27639596229)</f>
        <v>42748.2764</v>
      </c>
      <c r="C4222" s="1" t="str">
        <f>IFERROR(__xludf.DUMMYFUNCTION("""COMPUTED_VALUE"""),"control")</f>
        <v>control</v>
      </c>
      <c r="D4222" s="1" t="str">
        <f>IFERROR(__xludf.DUMMYFUNCTION("""COMPUTED_VALUE"""),"old_page")</f>
        <v>old_page</v>
      </c>
      <c r="E4222" s="1">
        <f>IFERROR(__xludf.DUMMYFUNCTION("""COMPUTED_VALUE"""),0.0)</f>
        <v>0</v>
      </c>
    </row>
    <row r="4223">
      <c r="A4223" s="1">
        <f>IFERROR(__xludf.DUMMYFUNCTION("""COMPUTED_VALUE"""),821025.0)</f>
        <v>821025</v>
      </c>
      <c r="B4223" s="2">
        <f>IFERROR(__xludf.DUMMYFUNCTION("""COMPUTED_VALUE"""),42739.457829873354)</f>
        <v>42739.45783</v>
      </c>
      <c r="C4223" s="1" t="str">
        <f>IFERROR(__xludf.DUMMYFUNCTION("""COMPUTED_VALUE"""),"treatment")</f>
        <v>treatment</v>
      </c>
      <c r="D4223" s="1" t="str">
        <f>IFERROR(__xludf.DUMMYFUNCTION("""COMPUTED_VALUE"""),"new_page")</f>
        <v>new_page</v>
      </c>
      <c r="E4223" s="1">
        <f>IFERROR(__xludf.DUMMYFUNCTION("""COMPUTED_VALUE"""),0.0)</f>
        <v>0</v>
      </c>
    </row>
    <row r="4224">
      <c r="A4224" s="1">
        <f>IFERROR(__xludf.DUMMYFUNCTION("""COMPUTED_VALUE"""),697083.0)</f>
        <v>697083</v>
      </c>
      <c r="B4224" s="2">
        <f>IFERROR(__xludf.DUMMYFUNCTION("""COMPUTED_VALUE"""),42738.12551815694)</f>
        <v>42738.12552</v>
      </c>
      <c r="C4224" s="1" t="str">
        <f>IFERROR(__xludf.DUMMYFUNCTION("""COMPUTED_VALUE"""),"treatment")</f>
        <v>treatment</v>
      </c>
      <c r="D4224" s="1" t="str">
        <f>IFERROR(__xludf.DUMMYFUNCTION("""COMPUTED_VALUE"""),"new_page")</f>
        <v>new_page</v>
      </c>
      <c r="E4224" s="1">
        <f>IFERROR(__xludf.DUMMYFUNCTION("""COMPUTED_VALUE"""),0.0)</f>
        <v>0</v>
      </c>
    </row>
    <row r="4225">
      <c r="A4225" s="1">
        <f>IFERROR(__xludf.DUMMYFUNCTION("""COMPUTED_VALUE"""),859737.0)</f>
        <v>859737</v>
      </c>
      <c r="B4225" s="2">
        <f>IFERROR(__xludf.DUMMYFUNCTION("""COMPUTED_VALUE"""),42757.85969504603)</f>
        <v>42757.8597</v>
      </c>
      <c r="C4225" s="1" t="str">
        <f>IFERROR(__xludf.DUMMYFUNCTION("""COMPUTED_VALUE"""),"treatment")</f>
        <v>treatment</v>
      </c>
      <c r="D4225" s="1" t="str">
        <f>IFERROR(__xludf.DUMMYFUNCTION("""COMPUTED_VALUE"""),"new_page")</f>
        <v>new_page</v>
      </c>
      <c r="E4225" s="1">
        <f>IFERROR(__xludf.DUMMYFUNCTION("""COMPUTED_VALUE"""),0.0)</f>
        <v>0</v>
      </c>
    </row>
    <row r="4226">
      <c r="A4226" s="1">
        <f>IFERROR(__xludf.DUMMYFUNCTION("""COMPUTED_VALUE"""),661288.0)</f>
        <v>661288</v>
      </c>
      <c r="B4226" s="2">
        <f>IFERROR(__xludf.DUMMYFUNCTION("""COMPUTED_VALUE"""),42755.818126411956)</f>
        <v>42755.81813</v>
      </c>
      <c r="C4226" s="1" t="str">
        <f>IFERROR(__xludf.DUMMYFUNCTION("""COMPUTED_VALUE"""),"treatment")</f>
        <v>treatment</v>
      </c>
      <c r="D4226" s="1" t="str">
        <f>IFERROR(__xludf.DUMMYFUNCTION("""COMPUTED_VALUE"""),"new_page")</f>
        <v>new_page</v>
      </c>
      <c r="E4226" s="1">
        <f>IFERROR(__xludf.DUMMYFUNCTION("""COMPUTED_VALUE"""),0.0)</f>
        <v>0</v>
      </c>
    </row>
    <row r="4227">
      <c r="A4227" s="1">
        <f>IFERROR(__xludf.DUMMYFUNCTION("""COMPUTED_VALUE"""),645308.0)</f>
        <v>645308</v>
      </c>
      <c r="B4227" s="2">
        <f>IFERROR(__xludf.DUMMYFUNCTION("""COMPUTED_VALUE"""),42758.44451991674)</f>
        <v>42758.44452</v>
      </c>
      <c r="C4227" s="1" t="str">
        <f>IFERROR(__xludf.DUMMYFUNCTION("""COMPUTED_VALUE"""),"control")</f>
        <v>control</v>
      </c>
      <c r="D4227" s="1" t="str">
        <f>IFERROR(__xludf.DUMMYFUNCTION("""COMPUTED_VALUE"""),"old_page")</f>
        <v>old_page</v>
      </c>
      <c r="E4227" s="1">
        <f>IFERROR(__xludf.DUMMYFUNCTION("""COMPUTED_VALUE"""),0.0)</f>
        <v>0</v>
      </c>
    </row>
    <row r="4228">
      <c r="A4228" s="1">
        <f>IFERROR(__xludf.DUMMYFUNCTION("""COMPUTED_VALUE"""),705988.0)</f>
        <v>705988</v>
      </c>
      <c r="B4228" s="2">
        <f>IFERROR(__xludf.DUMMYFUNCTION("""COMPUTED_VALUE"""),42746.125702046935)</f>
        <v>42746.1257</v>
      </c>
      <c r="C4228" s="1" t="str">
        <f>IFERROR(__xludf.DUMMYFUNCTION("""COMPUTED_VALUE"""),"control")</f>
        <v>control</v>
      </c>
      <c r="D4228" s="1" t="str">
        <f>IFERROR(__xludf.DUMMYFUNCTION("""COMPUTED_VALUE"""),"old_page")</f>
        <v>old_page</v>
      </c>
      <c r="E4228" s="1">
        <f>IFERROR(__xludf.DUMMYFUNCTION("""COMPUTED_VALUE"""),0.0)</f>
        <v>0</v>
      </c>
    </row>
    <row r="4229">
      <c r="A4229" s="1">
        <f>IFERROR(__xludf.DUMMYFUNCTION("""COMPUTED_VALUE"""),656277.0)</f>
        <v>656277</v>
      </c>
      <c r="B4229" s="2">
        <f>IFERROR(__xludf.DUMMYFUNCTION("""COMPUTED_VALUE"""),42750.959788521526)</f>
        <v>42750.95979</v>
      </c>
      <c r="C4229" s="1" t="str">
        <f>IFERROR(__xludf.DUMMYFUNCTION("""COMPUTED_VALUE"""),"treatment")</f>
        <v>treatment</v>
      </c>
      <c r="D4229" s="1" t="str">
        <f>IFERROR(__xludf.DUMMYFUNCTION("""COMPUTED_VALUE"""),"new_page")</f>
        <v>new_page</v>
      </c>
      <c r="E4229" s="1">
        <f>IFERROR(__xludf.DUMMYFUNCTION("""COMPUTED_VALUE"""),0.0)</f>
        <v>0</v>
      </c>
    </row>
    <row r="4230">
      <c r="A4230" s="1">
        <f>IFERROR(__xludf.DUMMYFUNCTION("""COMPUTED_VALUE"""),894945.0)</f>
        <v>894945</v>
      </c>
      <c r="B4230" s="2">
        <f>IFERROR(__xludf.DUMMYFUNCTION("""COMPUTED_VALUE"""),42756.52019986969)</f>
        <v>42756.5202</v>
      </c>
      <c r="C4230" s="1" t="str">
        <f>IFERROR(__xludf.DUMMYFUNCTION("""COMPUTED_VALUE"""),"treatment")</f>
        <v>treatment</v>
      </c>
      <c r="D4230" s="1" t="str">
        <f>IFERROR(__xludf.DUMMYFUNCTION("""COMPUTED_VALUE"""),"new_page")</f>
        <v>new_page</v>
      </c>
      <c r="E4230" s="1">
        <f>IFERROR(__xludf.DUMMYFUNCTION("""COMPUTED_VALUE"""),0.0)</f>
        <v>0</v>
      </c>
    </row>
    <row r="4231">
      <c r="A4231" s="1">
        <f>IFERROR(__xludf.DUMMYFUNCTION("""COMPUTED_VALUE"""),686040.0)</f>
        <v>686040</v>
      </c>
      <c r="B4231" s="2">
        <f>IFERROR(__xludf.DUMMYFUNCTION("""COMPUTED_VALUE"""),42747.82842259088)</f>
        <v>42747.82842</v>
      </c>
      <c r="C4231" s="1" t="str">
        <f>IFERROR(__xludf.DUMMYFUNCTION("""COMPUTED_VALUE"""),"control")</f>
        <v>control</v>
      </c>
      <c r="D4231" s="1" t="str">
        <f>IFERROR(__xludf.DUMMYFUNCTION("""COMPUTED_VALUE"""),"old_page")</f>
        <v>old_page</v>
      </c>
      <c r="E4231" s="1">
        <f>IFERROR(__xludf.DUMMYFUNCTION("""COMPUTED_VALUE"""),0.0)</f>
        <v>0</v>
      </c>
    </row>
    <row r="4232">
      <c r="A4232" s="1">
        <f>IFERROR(__xludf.DUMMYFUNCTION("""COMPUTED_VALUE"""),630330.0)</f>
        <v>630330</v>
      </c>
      <c r="B4232" s="2">
        <f>IFERROR(__xludf.DUMMYFUNCTION("""COMPUTED_VALUE"""),42750.05951595694)</f>
        <v>42750.05952</v>
      </c>
      <c r="C4232" s="1" t="str">
        <f>IFERROR(__xludf.DUMMYFUNCTION("""COMPUTED_VALUE"""),"control")</f>
        <v>control</v>
      </c>
      <c r="D4232" s="1" t="str">
        <f>IFERROR(__xludf.DUMMYFUNCTION("""COMPUTED_VALUE"""),"old_page")</f>
        <v>old_page</v>
      </c>
      <c r="E4232" s="1">
        <f>IFERROR(__xludf.DUMMYFUNCTION("""COMPUTED_VALUE"""),0.0)</f>
        <v>0</v>
      </c>
    </row>
    <row r="4233">
      <c r="A4233" s="1">
        <f>IFERROR(__xludf.DUMMYFUNCTION("""COMPUTED_VALUE"""),637929.0)</f>
        <v>637929</v>
      </c>
      <c r="B4233" s="2">
        <f>IFERROR(__xludf.DUMMYFUNCTION("""COMPUTED_VALUE"""),42737.7845893542)</f>
        <v>42737.78459</v>
      </c>
      <c r="C4233" s="1" t="str">
        <f>IFERROR(__xludf.DUMMYFUNCTION("""COMPUTED_VALUE"""),"control")</f>
        <v>control</v>
      </c>
      <c r="D4233" s="1" t="str">
        <f>IFERROR(__xludf.DUMMYFUNCTION("""COMPUTED_VALUE"""),"old_page")</f>
        <v>old_page</v>
      </c>
      <c r="E4233" s="1">
        <f>IFERROR(__xludf.DUMMYFUNCTION("""COMPUTED_VALUE"""),0.0)</f>
        <v>0</v>
      </c>
    </row>
    <row r="4234">
      <c r="A4234" s="1">
        <f>IFERROR(__xludf.DUMMYFUNCTION("""COMPUTED_VALUE"""),727917.0)</f>
        <v>727917</v>
      </c>
      <c r="B4234" s="2">
        <f>IFERROR(__xludf.DUMMYFUNCTION("""COMPUTED_VALUE"""),42750.61857613816)</f>
        <v>42750.61858</v>
      </c>
      <c r="C4234" s="1" t="str">
        <f>IFERROR(__xludf.DUMMYFUNCTION("""COMPUTED_VALUE"""),"control")</f>
        <v>control</v>
      </c>
      <c r="D4234" s="1" t="str">
        <f>IFERROR(__xludf.DUMMYFUNCTION("""COMPUTED_VALUE"""),"old_page")</f>
        <v>old_page</v>
      </c>
      <c r="E4234" s="1">
        <f>IFERROR(__xludf.DUMMYFUNCTION("""COMPUTED_VALUE"""),0.0)</f>
        <v>0</v>
      </c>
    </row>
    <row r="4235">
      <c r="A4235" s="1">
        <f>IFERROR(__xludf.DUMMYFUNCTION("""COMPUTED_VALUE"""),707155.0)</f>
        <v>707155</v>
      </c>
      <c r="B4235" s="2">
        <f>IFERROR(__xludf.DUMMYFUNCTION("""COMPUTED_VALUE"""),42745.001066601704)</f>
        <v>42745.00107</v>
      </c>
      <c r="C4235" s="1" t="str">
        <f>IFERROR(__xludf.DUMMYFUNCTION("""COMPUTED_VALUE"""),"treatment")</f>
        <v>treatment</v>
      </c>
      <c r="D4235" s="1" t="str">
        <f>IFERROR(__xludf.DUMMYFUNCTION("""COMPUTED_VALUE"""),"new_page")</f>
        <v>new_page</v>
      </c>
      <c r="E4235" s="1">
        <f>IFERROR(__xludf.DUMMYFUNCTION("""COMPUTED_VALUE"""),1.0)</f>
        <v>1</v>
      </c>
    </row>
    <row r="4236">
      <c r="A4236" s="1">
        <f>IFERROR(__xludf.DUMMYFUNCTION("""COMPUTED_VALUE"""),774132.0)</f>
        <v>774132</v>
      </c>
      <c r="B4236" s="2">
        <f>IFERROR(__xludf.DUMMYFUNCTION("""COMPUTED_VALUE"""),42755.446969950615)</f>
        <v>42755.44697</v>
      </c>
      <c r="C4236" s="1" t="str">
        <f>IFERROR(__xludf.DUMMYFUNCTION("""COMPUTED_VALUE"""),"treatment")</f>
        <v>treatment</v>
      </c>
      <c r="D4236" s="1" t="str">
        <f>IFERROR(__xludf.DUMMYFUNCTION("""COMPUTED_VALUE"""),"new_page")</f>
        <v>new_page</v>
      </c>
      <c r="E4236" s="1">
        <f>IFERROR(__xludf.DUMMYFUNCTION("""COMPUTED_VALUE"""),0.0)</f>
        <v>0</v>
      </c>
    </row>
    <row r="4237">
      <c r="A4237" s="1">
        <f>IFERROR(__xludf.DUMMYFUNCTION("""COMPUTED_VALUE"""),788722.0)</f>
        <v>788722</v>
      </c>
      <c r="B4237" s="2">
        <f>IFERROR(__xludf.DUMMYFUNCTION("""COMPUTED_VALUE"""),42739.5464973652)</f>
        <v>42739.5465</v>
      </c>
      <c r="C4237" s="1" t="str">
        <f>IFERROR(__xludf.DUMMYFUNCTION("""COMPUTED_VALUE"""),"treatment")</f>
        <v>treatment</v>
      </c>
      <c r="D4237" s="1" t="str">
        <f>IFERROR(__xludf.DUMMYFUNCTION("""COMPUTED_VALUE"""),"new_page")</f>
        <v>new_page</v>
      </c>
      <c r="E4237" s="1">
        <f>IFERROR(__xludf.DUMMYFUNCTION("""COMPUTED_VALUE"""),0.0)</f>
        <v>0</v>
      </c>
    </row>
    <row r="4238">
      <c r="A4238" s="1">
        <f>IFERROR(__xludf.DUMMYFUNCTION("""COMPUTED_VALUE"""),733395.0)</f>
        <v>733395</v>
      </c>
      <c r="B4238" s="2">
        <f>IFERROR(__xludf.DUMMYFUNCTION("""COMPUTED_VALUE"""),42741.712499558555)</f>
        <v>42741.7125</v>
      </c>
      <c r="C4238" s="1" t="str">
        <f>IFERROR(__xludf.DUMMYFUNCTION("""COMPUTED_VALUE"""),"control")</f>
        <v>control</v>
      </c>
      <c r="D4238" s="1" t="str">
        <f>IFERROR(__xludf.DUMMYFUNCTION("""COMPUTED_VALUE"""),"old_page")</f>
        <v>old_page</v>
      </c>
      <c r="E4238" s="1">
        <f>IFERROR(__xludf.DUMMYFUNCTION("""COMPUTED_VALUE"""),0.0)</f>
        <v>0</v>
      </c>
    </row>
    <row r="4239">
      <c r="A4239" s="1">
        <f>IFERROR(__xludf.DUMMYFUNCTION("""COMPUTED_VALUE"""),670451.0)</f>
        <v>670451</v>
      </c>
      <c r="B4239" s="2">
        <f>IFERROR(__xludf.DUMMYFUNCTION("""COMPUTED_VALUE"""),42752.40580850889)</f>
        <v>42752.40581</v>
      </c>
      <c r="C4239" s="1" t="str">
        <f>IFERROR(__xludf.DUMMYFUNCTION("""COMPUTED_VALUE"""),"control")</f>
        <v>control</v>
      </c>
      <c r="D4239" s="1" t="str">
        <f>IFERROR(__xludf.DUMMYFUNCTION("""COMPUTED_VALUE"""),"old_page")</f>
        <v>old_page</v>
      </c>
      <c r="E4239" s="1">
        <f>IFERROR(__xludf.DUMMYFUNCTION("""COMPUTED_VALUE"""),0.0)</f>
        <v>0</v>
      </c>
    </row>
    <row r="4240">
      <c r="A4240" s="1">
        <f>IFERROR(__xludf.DUMMYFUNCTION("""COMPUTED_VALUE"""),720906.0)</f>
        <v>720906</v>
      </c>
      <c r="B4240" s="2">
        <f>IFERROR(__xludf.DUMMYFUNCTION("""COMPUTED_VALUE"""),42741.29138944088)</f>
        <v>42741.29139</v>
      </c>
      <c r="C4240" s="1" t="str">
        <f>IFERROR(__xludf.DUMMYFUNCTION("""COMPUTED_VALUE"""),"control")</f>
        <v>control</v>
      </c>
      <c r="D4240" s="1" t="str">
        <f>IFERROR(__xludf.DUMMYFUNCTION("""COMPUTED_VALUE"""),"old_page")</f>
        <v>old_page</v>
      </c>
      <c r="E4240" s="1">
        <f>IFERROR(__xludf.DUMMYFUNCTION("""COMPUTED_VALUE"""),0.0)</f>
        <v>0</v>
      </c>
    </row>
    <row r="4241">
      <c r="A4241" s="1">
        <f>IFERROR(__xludf.DUMMYFUNCTION("""COMPUTED_VALUE"""),737885.0)</f>
        <v>737885</v>
      </c>
      <c r="B4241" s="2">
        <f>IFERROR(__xludf.DUMMYFUNCTION("""COMPUTED_VALUE"""),42740.2010386032)</f>
        <v>42740.20104</v>
      </c>
      <c r="C4241" s="1" t="str">
        <f>IFERROR(__xludf.DUMMYFUNCTION("""COMPUTED_VALUE"""),"control")</f>
        <v>control</v>
      </c>
      <c r="D4241" s="1" t="str">
        <f>IFERROR(__xludf.DUMMYFUNCTION("""COMPUTED_VALUE"""),"old_page")</f>
        <v>old_page</v>
      </c>
      <c r="E4241" s="1">
        <f>IFERROR(__xludf.DUMMYFUNCTION("""COMPUTED_VALUE"""),0.0)</f>
        <v>0</v>
      </c>
    </row>
    <row r="4242">
      <c r="A4242" s="1">
        <f>IFERROR(__xludf.DUMMYFUNCTION("""COMPUTED_VALUE"""),915183.0)</f>
        <v>915183</v>
      </c>
      <c r="B4242" s="2">
        <f>IFERROR(__xludf.DUMMYFUNCTION("""COMPUTED_VALUE"""),42740.1186856546)</f>
        <v>42740.11869</v>
      </c>
      <c r="C4242" s="1" t="str">
        <f>IFERROR(__xludf.DUMMYFUNCTION("""COMPUTED_VALUE"""),"treatment")</f>
        <v>treatment</v>
      </c>
      <c r="D4242" s="1" t="str">
        <f>IFERROR(__xludf.DUMMYFUNCTION("""COMPUTED_VALUE"""),"new_page")</f>
        <v>new_page</v>
      </c>
      <c r="E4242" s="1">
        <f>IFERROR(__xludf.DUMMYFUNCTION("""COMPUTED_VALUE"""),0.0)</f>
        <v>0</v>
      </c>
    </row>
    <row r="4243">
      <c r="A4243" s="1">
        <f>IFERROR(__xludf.DUMMYFUNCTION("""COMPUTED_VALUE"""),888577.0)</f>
        <v>888577</v>
      </c>
      <c r="B4243" s="2">
        <f>IFERROR(__xludf.DUMMYFUNCTION("""COMPUTED_VALUE"""),42740.00402330475)</f>
        <v>42740.00402</v>
      </c>
      <c r="C4243" s="1" t="str">
        <f>IFERROR(__xludf.DUMMYFUNCTION("""COMPUTED_VALUE"""),"control")</f>
        <v>control</v>
      </c>
      <c r="D4243" s="1" t="str">
        <f>IFERROR(__xludf.DUMMYFUNCTION("""COMPUTED_VALUE"""),"old_page")</f>
        <v>old_page</v>
      </c>
      <c r="E4243" s="1">
        <f>IFERROR(__xludf.DUMMYFUNCTION("""COMPUTED_VALUE"""),0.0)</f>
        <v>0</v>
      </c>
    </row>
    <row r="4244">
      <c r="A4244" s="1">
        <f>IFERROR(__xludf.DUMMYFUNCTION("""COMPUTED_VALUE"""),737031.0)</f>
        <v>737031</v>
      </c>
      <c r="B4244" s="2">
        <f>IFERROR(__xludf.DUMMYFUNCTION("""COMPUTED_VALUE"""),42750.54176172392)</f>
        <v>42750.54176</v>
      </c>
      <c r="C4244" s="1" t="str">
        <f>IFERROR(__xludf.DUMMYFUNCTION("""COMPUTED_VALUE"""),"control")</f>
        <v>control</v>
      </c>
      <c r="D4244" s="1" t="str">
        <f>IFERROR(__xludf.DUMMYFUNCTION("""COMPUTED_VALUE"""),"old_page")</f>
        <v>old_page</v>
      </c>
      <c r="E4244" s="1">
        <f>IFERROR(__xludf.DUMMYFUNCTION("""COMPUTED_VALUE"""),0.0)</f>
        <v>0</v>
      </c>
    </row>
    <row r="4245">
      <c r="A4245" s="1">
        <f>IFERROR(__xludf.DUMMYFUNCTION("""COMPUTED_VALUE"""),876867.0)</f>
        <v>876867</v>
      </c>
      <c r="B4245" s="2">
        <f>IFERROR(__xludf.DUMMYFUNCTION("""COMPUTED_VALUE"""),42750.31134719764)</f>
        <v>42750.31135</v>
      </c>
      <c r="C4245" s="1" t="str">
        <f>IFERROR(__xludf.DUMMYFUNCTION("""COMPUTED_VALUE"""),"control")</f>
        <v>control</v>
      </c>
      <c r="D4245" s="1" t="str">
        <f>IFERROR(__xludf.DUMMYFUNCTION("""COMPUTED_VALUE"""),"old_page")</f>
        <v>old_page</v>
      </c>
      <c r="E4245" s="1">
        <f>IFERROR(__xludf.DUMMYFUNCTION("""COMPUTED_VALUE"""),0.0)</f>
        <v>0</v>
      </c>
    </row>
    <row r="4246">
      <c r="A4246" s="1">
        <f>IFERROR(__xludf.DUMMYFUNCTION("""COMPUTED_VALUE"""),735301.0)</f>
        <v>735301</v>
      </c>
      <c r="B4246" s="2">
        <f>IFERROR(__xludf.DUMMYFUNCTION("""COMPUTED_VALUE"""),42739.54966331448)</f>
        <v>42739.54966</v>
      </c>
      <c r="C4246" s="1" t="str">
        <f>IFERROR(__xludf.DUMMYFUNCTION("""COMPUTED_VALUE"""),"control")</f>
        <v>control</v>
      </c>
      <c r="D4246" s="1" t="str">
        <f>IFERROR(__xludf.DUMMYFUNCTION("""COMPUTED_VALUE"""),"old_page")</f>
        <v>old_page</v>
      </c>
      <c r="E4246" s="1">
        <f>IFERROR(__xludf.DUMMYFUNCTION("""COMPUTED_VALUE"""),0.0)</f>
        <v>0</v>
      </c>
    </row>
    <row r="4247">
      <c r="A4247" s="1">
        <f>IFERROR(__xludf.DUMMYFUNCTION("""COMPUTED_VALUE"""),642599.0)</f>
        <v>642599</v>
      </c>
      <c r="B4247" s="2">
        <f>IFERROR(__xludf.DUMMYFUNCTION("""COMPUTED_VALUE"""),42758.01605631082)</f>
        <v>42758.01606</v>
      </c>
      <c r="C4247" s="1" t="str">
        <f>IFERROR(__xludf.DUMMYFUNCTION("""COMPUTED_VALUE"""),"control")</f>
        <v>control</v>
      </c>
      <c r="D4247" s="1" t="str">
        <f>IFERROR(__xludf.DUMMYFUNCTION("""COMPUTED_VALUE"""),"old_page")</f>
        <v>old_page</v>
      </c>
      <c r="E4247" s="1">
        <f>IFERROR(__xludf.DUMMYFUNCTION("""COMPUTED_VALUE"""),1.0)</f>
        <v>1</v>
      </c>
    </row>
    <row r="4248">
      <c r="A4248" s="1">
        <f>IFERROR(__xludf.DUMMYFUNCTION("""COMPUTED_VALUE"""),758059.0)</f>
        <v>758059</v>
      </c>
      <c r="B4248" s="2">
        <f>IFERROR(__xludf.DUMMYFUNCTION("""COMPUTED_VALUE"""),42751.8047330893)</f>
        <v>42751.80473</v>
      </c>
      <c r="C4248" s="1" t="str">
        <f>IFERROR(__xludf.DUMMYFUNCTION("""COMPUTED_VALUE"""),"treatment")</f>
        <v>treatment</v>
      </c>
      <c r="D4248" s="1" t="str">
        <f>IFERROR(__xludf.DUMMYFUNCTION("""COMPUTED_VALUE"""),"new_page")</f>
        <v>new_page</v>
      </c>
      <c r="E4248" s="1">
        <f>IFERROR(__xludf.DUMMYFUNCTION("""COMPUTED_VALUE"""),0.0)</f>
        <v>0</v>
      </c>
    </row>
    <row r="4249">
      <c r="A4249" s="1">
        <f>IFERROR(__xludf.DUMMYFUNCTION("""COMPUTED_VALUE"""),726854.0)</f>
        <v>726854</v>
      </c>
      <c r="B4249" s="2">
        <f>IFERROR(__xludf.DUMMYFUNCTION("""COMPUTED_VALUE"""),42741.06290105979)</f>
        <v>42741.0629</v>
      </c>
      <c r="C4249" s="1" t="str">
        <f>IFERROR(__xludf.DUMMYFUNCTION("""COMPUTED_VALUE"""),"control")</f>
        <v>control</v>
      </c>
      <c r="D4249" s="1" t="str">
        <f>IFERROR(__xludf.DUMMYFUNCTION("""COMPUTED_VALUE"""),"old_page")</f>
        <v>old_page</v>
      </c>
      <c r="E4249" s="1">
        <f>IFERROR(__xludf.DUMMYFUNCTION("""COMPUTED_VALUE"""),0.0)</f>
        <v>0</v>
      </c>
    </row>
    <row r="4250">
      <c r="A4250" s="1">
        <f>IFERROR(__xludf.DUMMYFUNCTION("""COMPUTED_VALUE"""),633979.0)</f>
        <v>633979</v>
      </c>
      <c r="B4250" s="2">
        <f>IFERROR(__xludf.DUMMYFUNCTION("""COMPUTED_VALUE"""),42755.956613074464)</f>
        <v>42755.95661</v>
      </c>
      <c r="C4250" s="1" t="str">
        <f>IFERROR(__xludf.DUMMYFUNCTION("""COMPUTED_VALUE"""),"control")</f>
        <v>control</v>
      </c>
      <c r="D4250" s="1" t="str">
        <f>IFERROR(__xludf.DUMMYFUNCTION("""COMPUTED_VALUE"""),"old_page")</f>
        <v>old_page</v>
      </c>
      <c r="E4250" s="1">
        <f>IFERROR(__xludf.DUMMYFUNCTION("""COMPUTED_VALUE"""),1.0)</f>
        <v>1</v>
      </c>
    </row>
    <row r="4251">
      <c r="A4251" s="1">
        <f>IFERROR(__xludf.DUMMYFUNCTION("""COMPUTED_VALUE"""),818924.0)</f>
        <v>818924</v>
      </c>
      <c r="B4251" s="2">
        <f>IFERROR(__xludf.DUMMYFUNCTION("""COMPUTED_VALUE"""),42757.17018187199)</f>
        <v>42757.17018</v>
      </c>
      <c r="C4251" s="1" t="str">
        <f>IFERROR(__xludf.DUMMYFUNCTION("""COMPUTED_VALUE"""),"treatment")</f>
        <v>treatment</v>
      </c>
      <c r="D4251" s="1" t="str">
        <f>IFERROR(__xludf.DUMMYFUNCTION("""COMPUTED_VALUE"""),"new_page")</f>
        <v>new_page</v>
      </c>
      <c r="E4251" s="1">
        <f>IFERROR(__xludf.DUMMYFUNCTION("""COMPUTED_VALUE"""),0.0)</f>
        <v>0</v>
      </c>
    </row>
    <row r="4252">
      <c r="A4252" s="1">
        <f>IFERROR(__xludf.DUMMYFUNCTION("""COMPUTED_VALUE"""),746239.0)</f>
        <v>746239</v>
      </c>
      <c r="B4252" s="2">
        <f>IFERROR(__xludf.DUMMYFUNCTION("""COMPUTED_VALUE"""),42741.8851116372)</f>
        <v>42741.88511</v>
      </c>
      <c r="C4252" s="1" t="str">
        <f>IFERROR(__xludf.DUMMYFUNCTION("""COMPUTED_VALUE"""),"control")</f>
        <v>control</v>
      </c>
      <c r="D4252" s="1" t="str">
        <f>IFERROR(__xludf.DUMMYFUNCTION("""COMPUTED_VALUE"""),"old_page")</f>
        <v>old_page</v>
      </c>
      <c r="E4252" s="1">
        <f>IFERROR(__xludf.DUMMYFUNCTION("""COMPUTED_VALUE"""),0.0)</f>
        <v>0</v>
      </c>
    </row>
    <row r="4253">
      <c r="A4253" s="1">
        <f>IFERROR(__xludf.DUMMYFUNCTION("""COMPUTED_VALUE"""),873757.0)</f>
        <v>873757</v>
      </c>
      <c r="B4253" s="2">
        <f>IFERROR(__xludf.DUMMYFUNCTION("""COMPUTED_VALUE"""),42753.02744463765)</f>
        <v>42753.02744</v>
      </c>
      <c r="C4253" s="1" t="str">
        <f>IFERROR(__xludf.DUMMYFUNCTION("""COMPUTED_VALUE"""),"treatment")</f>
        <v>treatment</v>
      </c>
      <c r="D4253" s="1" t="str">
        <f>IFERROR(__xludf.DUMMYFUNCTION("""COMPUTED_VALUE"""),"new_page")</f>
        <v>new_page</v>
      </c>
      <c r="E4253" s="1">
        <f>IFERROR(__xludf.DUMMYFUNCTION("""COMPUTED_VALUE"""),0.0)</f>
        <v>0</v>
      </c>
    </row>
    <row r="4254">
      <c r="A4254" s="1">
        <f>IFERROR(__xludf.DUMMYFUNCTION("""COMPUTED_VALUE"""),810689.0)</f>
        <v>810689</v>
      </c>
      <c r="B4254" s="2">
        <f>IFERROR(__xludf.DUMMYFUNCTION("""COMPUTED_VALUE"""),42737.73731777686)</f>
        <v>42737.73732</v>
      </c>
      <c r="C4254" s="1" t="str">
        <f>IFERROR(__xludf.DUMMYFUNCTION("""COMPUTED_VALUE"""),"control")</f>
        <v>control</v>
      </c>
      <c r="D4254" s="1" t="str">
        <f>IFERROR(__xludf.DUMMYFUNCTION("""COMPUTED_VALUE"""),"old_page")</f>
        <v>old_page</v>
      </c>
      <c r="E4254" s="1">
        <f>IFERROR(__xludf.DUMMYFUNCTION("""COMPUTED_VALUE"""),0.0)</f>
        <v>0</v>
      </c>
    </row>
    <row r="4255">
      <c r="A4255" s="1">
        <f>IFERROR(__xludf.DUMMYFUNCTION("""COMPUTED_VALUE"""),938269.0)</f>
        <v>938269</v>
      </c>
      <c r="B4255" s="2">
        <f>IFERROR(__xludf.DUMMYFUNCTION("""COMPUTED_VALUE"""),42745.96202483941)</f>
        <v>42745.96202</v>
      </c>
      <c r="C4255" s="1" t="str">
        <f>IFERROR(__xludf.DUMMYFUNCTION("""COMPUTED_VALUE"""),"control")</f>
        <v>control</v>
      </c>
      <c r="D4255" s="1" t="str">
        <f>IFERROR(__xludf.DUMMYFUNCTION("""COMPUTED_VALUE"""),"old_page")</f>
        <v>old_page</v>
      </c>
      <c r="E4255" s="1">
        <f>IFERROR(__xludf.DUMMYFUNCTION("""COMPUTED_VALUE"""),0.0)</f>
        <v>0</v>
      </c>
    </row>
    <row r="4256">
      <c r="A4256" s="1">
        <f>IFERROR(__xludf.DUMMYFUNCTION("""COMPUTED_VALUE"""),882633.0)</f>
        <v>882633</v>
      </c>
      <c r="B4256" s="2">
        <f>IFERROR(__xludf.DUMMYFUNCTION("""COMPUTED_VALUE"""),42748.13703655419)</f>
        <v>42748.13704</v>
      </c>
      <c r="C4256" s="1" t="str">
        <f>IFERROR(__xludf.DUMMYFUNCTION("""COMPUTED_VALUE"""),"control")</f>
        <v>control</v>
      </c>
      <c r="D4256" s="1" t="str">
        <f>IFERROR(__xludf.DUMMYFUNCTION("""COMPUTED_VALUE"""),"old_page")</f>
        <v>old_page</v>
      </c>
      <c r="E4256" s="1">
        <f>IFERROR(__xludf.DUMMYFUNCTION("""COMPUTED_VALUE"""),0.0)</f>
        <v>0</v>
      </c>
    </row>
    <row r="4257">
      <c r="A4257" s="1">
        <f>IFERROR(__xludf.DUMMYFUNCTION("""COMPUTED_VALUE"""),846654.0)</f>
        <v>846654</v>
      </c>
      <c r="B4257" s="2">
        <f>IFERROR(__xludf.DUMMYFUNCTION("""COMPUTED_VALUE"""),42743.199017349754)</f>
        <v>42743.19902</v>
      </c>
      <c r="C4257" s="1" t="str">
        <f>IFERROR(__xludf.DUMMYFUNCTION("""COMPUTED_VALUE"""),"control")</f>
        <v>control</v>
      </c>
      <c r="D4257" s="1" t="str">
        <f>IFERROR(__xludf.DUMMYFUNCTION("""COMPUTED_VALUE"""),"old_page")</f>
        <v>old_page</v>
      </c>
      <c r="E4257" s="1">
        <f>IFERROR(__xludf.DUMMYFUNCTION("""COMPUTED_VALUE"""),0.0)</f>
        <v>0</v>
      </c>
    </row>
    <row r="4258">
      <c r="A4258" s="1">
        <f>IFERROR(__xludf.DUMMYFUNCTION("""COMPUTED_VALUE"""),762500.0)</f>
        <v>762500</v>
      </c>
      <c r="B4258" s="2">
        <f>IFERROR(__xludf.DUMMYFUNCTION("""COMPUTED_VALUE"""),42756.15707891514)</f>
        <v>42756.15708</v>
      </c>
      <c r="C4258" s="1" t="str">
        <f>IFERROR(__xludf.DUMMYFUNCTION("""COMPUTED_VALUE"""),"treatment")</f>
        <v>treatment</v>
      </c>
      <c r="D4258" s="1" t="str">
        <f>IFERROR(__xludf.DUMMYFUNCTION("""COMPUTED_VALUE"""),"new_page")</f>
        <v>new_page</v>
      </c>
      <c r="E4258" s="1">
        <f>IFERROR(__xludf.DUMMYFUNCTION("""COMPUTED_VALUE"""),0.0)</f>
        <v>0</v>
      </c>
    </row>
    <row r="4259">
      <c r="A4259" s="1">
        <f>IFERROR(__xludf.DUMMYFUNCTION("""COMPUTED_VALUE"""),945712.0)</f>
        <v>945712</v>
      </c>
      <c r="B4259" s="2">
        <f>IFERROR(__xludf.DUMMYFUNCTION("""COMPUTED_VALUE"""),42739.85362982109)</f>
        <v>42739.85363</v>
      </c>
      <c r="C4259" s="1" t="str">
        <f>IFERROR(__xludf.DUMMYFUNCTION("""COMPUTED_VALUE"""),"treatment")</f>
        <v>treatment</v>
      </c>
      <c r="D4259" s="1" t="str">
        <f>IFERROR(__xludf.DUMMYFUNCTION("""COMPUTED_VALUE"""),"new_page")</f>
        <v>new_page</v>
      </c>
      <c r="E4259" s="1">
        <f>IFERROR(__xludf.DUMMYFUNCTION("""COMPUTED_VALUE"""),0.0)</f>
        <v>0</v>
      </c>
    </row>
    <row r="4260">
      <c r="A4260" s="1">
        <f>IFERROR(__xludf.DUMMYFUNCTION("""COMPUTED_VALUE"""),739557.0)</f>
        <v>739557</v>
      </c>
      <c r="B4260" s="2">
        <f>IFERROR(__xludf.DUMMYFUNCTION("""COMPUTED_VALUE"""),42757.110255731655)</f>
        <v>42757.11026</v>
      </c>
      <c r="C4260" s="1" t="str">
        <f>IFERROR(__xludf.DUMMYFUNCTION("""COMPUTED_VALUE"""),"control")</f>
        <v>control</v>
      </c>
      <c r="D4260" s="1" t="str">
        <f>IFERROR(__xludf.DUMMYFUNCTION("""COMPUTED_VALUE"""),"old_page")</f>
        <v>old_page</v>
      </c>
      <c r="E4260" s="1">
        <f>IFERROR(__xludf.DUMMYFUNCTION("""COMPUTED_VALUE"""),0.0)</f>
        <v>0</v>
      </c>
    </row>
    <row r="4261">
      <c r="A4261" s="1">
        <f>IFERROR(__xludf.DUMMYFUNCTION("""COMPUTED_VALUE"""),905875.0)</f>
        <v>905875</v>
      </c>
      <c r="B4261" s="2">
        <f>IFERROR(__xludf.DUMMYFUNCTION("""COMPUTED_VALUE"""),42745.00145377767)</f>
        <v>42745.00145</v>
      </c>
      <c r="C4261" s="1" t="str">
        <f>IFERROR(__xludf.DUMMYFUNCTION("""COMPUTED_VALUE"""),"treatment")</f>
        <v>treatment</v>
      </c>
      <c r="D4261" s="1" t="str">
        <f>IFERROR(__xludf.DUMMYFUNCTION("""COMPUTED_VALUE"""),"new_page")</f>
        <v>new_page</v>
      </c>
      <c r="E4261" s="1">
        <f>IFERROR(__xludf.DUMMYFUNCTION("""COMPUTED_VALUE"""),0.0)</f>
        <v>0</v>
      </c>
    </row>
    <row r="4262">
      <c r="A4262" s="1">
        <f>IFERROR(__xludf.DUMMYFUNCTION("""COMPUTED_VALUE"""),849458.0)</f>
        <v>849458</v>
      </c>
      <c r="B4262" s="2">
        <f>IFERROR(__xludf.DUMMYFUNCTION("""COMPUTED_VALUE"""),42737.80171422013)</f>
        <v>42737.80171</v>
      </c>
      <c r="C4262" s="1" t="str">
        <f>IFERROR(__xludf.DUMMYFUNCTION("""COMPUTED_VALUE"""),"control")</f>
        <v>control</v>
      </c>
      <c r="D4262" s="1" t="str">
        <f>IFERROR(__xludf.DUMMYFUNCTION("""COMPUTED_VALUE"""),"old_page")</f>
        <v>old_page</v>
      </c>
      <c r="E4262" s="1">
        <f>IFERROR(__xludf.DUMMYFUNCTION("""COMPUTED_VALUE"""),0.0)</f>
        <v>0</v>
      </c>
    </row>
    <row r="4263">
      <c r="A4263" s="1">
        <f>IFERROR(__xludf.DUMMYFUNCTION("""COMPUTED_VALUE"""),862261.0)</f>
        <v>862261</v>
      </c>
      <c r="B4263" s="2">
        <f>IFERROR(__xludf.DUMMYFUNCTION("""COMPUTED_VALUE"""),42749.731675552786)</f>
        <v>42749.73168</v>
      </c>
      <c r="C4263" s="1" t="str">
        <f>IFERROR(__xludf.DUMMYFUNCTION("""COMPUTED_VALUE"""),"control")</f>
        <v>control</v>
      </c>
      <c r="D4263" s="1" t="str">
        <f>IFERROR(__xludf.DUMMYFUNCTION("""COMPUTED_VALUE"""),"old_page")</f>
        <v>old_page</v>
      </c>
      <c r="E4263" s="1">
        <f>IFERROR(__xludf.DUMMYFUNCTION("""COMPUTED_VALUE"""),0.0)</f>
        <v>0</v>
      </c>
    </row>
    <row r="4264">
      <c r="A4264" s="1">
        <f>IFERROR(__xludf.DUMMYFUNCTION("""COMPUTED_VALUE"""),716336.0)</f>
        <v>716336</v>
      </c>
      <c r="B4264" s="2">
        <f>IFERROR(__xludf.DUMMYFUNCTION("""COMPUTED_VALUE"""),42756.9487573244)</f>
        <v>42756.94876</v>
      </c>
      <c r="C4264" s="1" t="str">
        <f>IFERROR(__xludf.DUMMYFUNCTION("""COMPUTED_VALUE"""),"treatment")</f>
        <v>treatment</v>
      </c>
      <c r="D4264" s="1" t="str">
        <f>IFERROR(__xludf.DUMMYFUNCTION("""COMPUTED_VALUE"""),"new_page")</f>
        <v>new_page</v>
      </c>
      <c r="E4264" s="1">
        <f>IFERROR(__xludf.DUMMYFUNCTION("""COMPUTED_VALUE"""),0.0)</f>
        <v>0</v>
      </c>
    </row>
    <row r="4265">
      <c r="A4265" s="1">
        <f>IFERROR(__xludf.DUMMYFUNCTION("""COMPUTED_VALUE"""),860328.0)</f>
        <v>860328</v>
      </c>
      <c r="B4265" s="2">
        <f>IFERROR(__xludf.DUMMYFUNCTION("""COMPUTED_VALUE"""),42737.983103096136)</f>
        <v>42737.9831</v>
      </c>
      <c r="C4265" s="1" t="str">
        <f>IFERROR(__xludf.DUMMYFUNCTION("""COMPUTED_VALUE"""),"treatment")</f>
        <v>treatment</v>
      </c>
      <c r="D4265" s="1" t="str">
        <f>IFERROR(__xludf.DUMMYFUNCTION("""COMPUTED_VALUE"""),"new_page")</f>
        <v>new_page</v>
      </c>
      <c r="E4265" s="1">
        <f>IFERROR(__xludf.DUMMYFUNCTION("""COMPUTED_VALUE"""),0.0)</f>
        <v>0</v>
      </c>
    </row>
    <row r="4266">
      <c r="A4266" s="1">
        <f>IFERROR(__xludf.DUMMYFUNCTION("""COMPUTED_VALUE"""),690435.0)</f>
        <v>690435</v>
      </c>
      <c r="B4266" s="2">
        <f>IFERROR(__xludf.DUMMYFUNCTION("""COMPUTED_VALUE"""),42744.86886192515)</f>
        <v>42744.86886</v>
      </c>
      <c r="C4266" s="1" t="str">
        <f>IFERROR(__xludf.DUMMYFUNCTION("""COMPUTED_VALUE"""),"treatment")</f>
        <v>treatment</v>
      </c>
      <c r="D4266" s="1" t="str">
        <f>IFERROR(__xludf.DUMMYFUNCTION("""COMPUTED_VALUE"""),"new_page")</f>
        <v>new_page</v>
      </c>
      <c r="E4266" s="1">
        <f>IFERROR(__xludf.DUMMYFUNCTION("""COMPUTED_VALUE"""),0.0)</f>
        <v>0</v>
      </c>
    </row>
    <row r="4267">
      <c r="A4267" s="1">
        <f>IFERROR(__xludf.DUMMYFUNCTION("""COMPUTED_VALUE"""),646131.0)</f>
        <v>646131</v>
      </c>
      <c r="B4267" s="2">
        <f>IFERROR(__xludf.DUMMYFUNCTION("""COMPUTED_VALUE"""),42749.37100931528)</f>
        <v>42749.37101</v>
      </c>
      <c r="C4267" s="1" t="str">
        <f>IFERROR(__xludf.DUMMYFUNCTION("""COMPUTED_VALUE"""),"treatment")</f>
        <v>treatment</v>
      </c>
      <c r="D4267" s="1" t="str">
        <f>IFERROR(__xludf.DUMMYFUNCTION("""COMPUTED_VALUE"""),"new_page")</f>
        <v>new_page</v>
      </c>
      <c r="E4267" s="1">
        <f>IFERROR(__xludf.DUMMYFUNCTION("""COMPUTED_VALUE"""),0.0)</f>
        <v>0</v>
      </c>
    </row>
    <row r="4268">
      <c r="A4268" s="1">
        <f>IFERROR(__xludf.DUMMYFUNCTION("""COMPUTED_VALUE"""),683581.0)</f>
        <v>683581</v>
      </c>
      <c r="B4268" s="2">
        <f>IFERROR(__xludf.DUMMYFUNCTION("""COMPUTED_VALUE"""),42744.02313235709)</f>
        <v>42744.02313</v>
      </c>
      <c r="C4268" s="1" t="str">
        <f>IFERROR(__xludf.DUMMYFUNCTION("""COMPUTED_VALUE"""),"control")</f>
        <v>control</v>
      </c>
      <c r="D4268" s="1" t="str">
        <f>IFERROR(__xludf.DUMMYFUNCTION("""COMPUTED_VALUE"""),"old_page")</f>
        <v>old_page</v>
      </c>
      <c r="E4268" s="1">
        <f>IFERROR(__xludf.DUMMYFUNCTION("""COMPUTED_VALUE"""),0.0)</f>
        <v>0</v>
      </c>
    </row>
    <row r="4269">
      <c r="A4269" s="1">
        <f>IFERROR(__xludf.DUMMYFUNCTION("""COMPUTED_VALUE"""),847993.0)</f>
        <v>847993</v>
      </c>
      <c r="B4269" s="2">
        <f>IFERROR(__xludf.DUMMYFUNCTION("""COMPUTED_VALUE"""),42744.858090520625)</f>
        <v>42744.85809</v>
      </c>
      <c r="C4269" s="1" t="str">
        <f>IFERROR(__xludf.DUMMYFUNCTION("""COMPUTED_VALUE"""),"treatment")</f>
        <v>treatment</v>
      </c>
      <c r="D4269" s="1" t="str">
        <f>IFERROR(__xludf.DUMMYFUNCTION("""COMPUTED_VALUE"""),"new_page")</f>
        <v>new_page</v>
      </c>
      <c r="E4269" s="1">
        <f>IFERROR(__xludf.DUMMYFUNCTION("""COMPUTED_VALUE"""),0.0)</f>
        <v>0</v>
      </c>
    </row>
    <row r="4270">
      <c r="A4270" s="1">
        <f>IFERROR(__xludf.DUMMYFUNCTION("""COMPUTED_VALUE"""),945087.0)</f>
        <v>945087</v>
      </c>
      <c r="B4270" s="2">
        <f>IFERROR(__xludf.DUMMYFUNCTION("""COMPUTED_VALUE"""),42739.111943173695)</f>
        <v>42739.11194</v>
      </c>
      <c r="C4270" s="1" t="str">
        <f>IFERROR(__xludf.DUMMYFUNCTION("""COMPUTED_VALUE"""),"treatment")</f>
        <v>treatment</v>
      </c>
      <c r="D4270" s="1" t="str">
        <f>IFERROR(__xludf.DUMMYFUNCTION("""COMPUTED_VALUE"""),"new_page")</f>
        <v>new_page</v>
      </c>
      <c r="E4270" s="1">
        <f>IFERROR(__xludf.DUMMYFUNCTION("""COMPUTED_VALUE"""),0.0)</f>
        <v>0</v>
      </c>
    </row>
    <row r="4271">
      <c r="A4271" s="1">
        <f>IFERROR(__xludf.DUMMYFUNCTION("""COMPUTED_VALUE"""),639123.0)</f>
        <v>639123</v>
      </c>
      <c r="B4271" s="2">
        <f>IFERROR(__xludf.DUMMYFUNCTION("""COMPUTED_VALUE"""),42748.932006081275)</f>
        <v>42748.93201</v>
      </c>
      <c r="C4271" s="1" t="str">
        <f>IFERROR(__xludf.DUMMYFUNCTION("""COMPUTED_VALUE"""),"control")</f>
        <v>control</v>
      </c>
      <c r="D4271" s="1" t="str">
        <f>IFERROR(__xludf.DUMMYFUNCTION("""COMPUTED_VALUE"""),"old_page")</f>
        <v>old_page</v>
      </c>
      <c r="E4271" s="1">
        <f>IFERROR(__xludf.DUMMYFUNCTION("""COMPUTED_VALUE"""),1.0)</f>
        <v>1</v>
      </c>
    </row>
    <row r="4272">
      <c r="A4272" s="1">
        <f>IFERROR(__xludf.DUMMYFUNCTION("""COMPUTED_VALUE"""),802187.0)</f>
        <v>802187</v>
      </c>
      <c r="B4272" s="2">
        <f>IFERROR(__xludf.DUMMYFUNCTION("""COMPUTED_VALUE"""),42750.93544337889)</f>
        <v>42750.93544</v>
      </c>
      <c r="C4272" s="1" t="str">
        <f>IFERROR(__xludf.DUMMYFUNCTION("""COMPUTED_VALUE"""),"treatment")</f>
        <v>treatment</v>
      </c>
      <c r="D4272" s="1" t="str">
        <f>IFERROR(__xludf.DUMMYFUNCTION("""COMPUTED_VALUE"""),"new_page")</f>
        <v>new_page</v>
      </c>
      <c r="E4272" s="1">
        <f>IFERROR(__xludf.DUMMYFUNCTION("""COMPUTED_VALUE"""),0.0)</f>
        <v>0</v>
      </c>
    </row>
    <row r="4273">
      <c r="A4273" s="1">
        <f>IFERROR(__xludf.DUMMYFUNCTION("""COMPUTED_VALUE"""),916123.0)</f>
        <v>916123</v>
      </c>
      <c r="B4273" s="2">
        <f>IFERROR(__xludf.DUMMYFUNCTION("""COMPUTED_VALUE"""),42746.99862331685)</f>
        <v>42746.99862</v>
      </c>
      <c r="C4273" s="1" t="str">
        <f>IFERROR(__xludf.DUMMYFUNCTION("""COMPUTED_VALUE"""),"control")</f>
        <v>control</v>
      </c>
      <c r="D4273" s="1" t="str">
        <f>IFERROR(__xludf.DUMMYFUNCTION("""COMPUTED_VALUE"""),"old_page")</f>
        <v>old_page</v>
      </c>
      <c r="E4273" s="1">
        <f>IFERROR(__xludf.DUMMYFUNCTION("""COMPUTED_VALUE"""),0.0)</f>
        <v>0</v>
      </c>
    </row>
    <row r="4274">
      <c r="A4274" s="1">
        <f>IFERROR(__xludf.DUMMYFUNCTION("""COMPUTED_VALUE"""),890741.0)</f>
        <v>890741</v>
      </c>
      <c r="B4274" s="2">
        <f>IFERROR(__xludf.DUMMYFUNCTION("""COMPUTED_VALUE"""),42745.13845266175)</f>
        <v>42745.13845</v>
      </c>
      <c r="C4274" s="1" t="str">
        <f>IFERROR(__xludf.DUMMYFUNCTION("""COMPUTED_VALUE"""),"control")</f>
        <v>control</v>
      </c>
      <c r="D4274" s="1" t="str">
        <f>IFERROR(__xludf.DUMMYFUNCTION("""COMPUTED_VALUE"""),"old_page")</f>
        <v>old_page</v>
      </c>
      <c r="E4274" s="1">
        <f>IFERROR(__xludf.DUMMYFUNCTION("""COMPUTED_VALUE"""),0.0)</f>
        <v>0</v>
      </c>
    </row>
    <row r="4275">
      <c r="A4275" s="1">
        <f>IFERROR(__xludf.DUMMYFUNCTION("""COMPUTED_VALUE"""),801880.0)</f>
        <v>801880</v>
      </c>
      <c r="B4275" s="2">
        <f>IFERROR(__xludf.DUMMYFUNCTION("""COMPUTED_VALUE"""),42742.36613289548)</f>
        <v>42742.36613</v>
      </c>
      <c r="C4275" s="1" t="str">
        <f>IFERROR(__xludf.DUMMYFUNCTION("""COMPUTED_VALUE"""),"treatment")</f>
        <v>treatment</v>
      </c>
      <c r="D4275" s="1" t="str">
        <f>IFERROR(__xludf.DUMMYFUNCTION("""COMPUTED_VALUE"""),"new_page")</f>
        <v>new_page</v>
      </c>
      <c r="E4275" s="1">
        <f>IFERROR(__xludf.DUMMYFUNCTION("""COMPUTED_VALUE"""),1.0)</f>
        <v>1</v>
      </c>
    </row>
    <row r="4276">
      <c r="A4276" s="1">
        <f>IFERROR(__xludf.DUMMYFUNCTION("""COMPUTED_VALUE"""),640530.0)</f>
        <v>640530</v>
      </c>
      <c r="B4276" s="2">
        <f>IFERROR(__xludf.DUMMYFUNCTION("""COMPUTED_VALUE"""),42749.44967527208)</f>
        <v>42749.44968</v>
      </c>
      <c r="C4276" s="1" t="str">
        <f>IFERROR(__xludf.DUMMYFUNCTION("""COMPUTED_VALUE"""),"treatment")</f>
        <v>treatment</v>
      </c>
      <c r="D4276" s="1" t="str">
        <f>IFERROR(__xludf.DUMMYFUNCTION("""COMPUTED_VALUE"""),"new_page")</f>
        <v>new_page</v>
      </c>
      <c r="E4276" s="1">
        <f>IFERROR(__xludf.DUMMYFUNCTION("""COMPUTED_VALUE"""),0.0)</f>
        <v>0</v>
      </c>
    </row>
    <row r="4277">
      <c r="A4277" s="1">
        <f>IFERROR(__xludf.DUMMYFUNCTION("""COMPUTED_VALUE"""),845730.0)</f>
        <v>845730</v>
      </c>
      <c r="B4277" s="2">
        <f>IFERROR(__xludf.DUMMYFUNCTION("""COMPUTED_VALUE"""),42758.312648709674)</f>
        <v>42758.31265</v>
      </c>
      <c r="C4277" s="1" t="str">
        <f>IFERROR(__xludf.DUMMYFUNCTION("""COMPUTED_VALUE"""),"treatment")</f>
        <v>treatment</v>
      </c>
      <c r="D4277" s="1" t="str">
        <f>IFERROR(__xludf.DUMMYFUNCTION("""COMPUTED_VALUE"""),"new_page")</f>
        <v>new_page</v>
      </c>
      <c r="E4277" s="1">
        <f>IFERROR(__xludf.DUMMYFUNCTION("""COMPUTED_VALUE"""),0.0)</f>
        <v>0</v>
      </c>
    </row>
    <row r="4278">
      <c r="A4278" s="1">
        <f>IFERROR(__xludf.DUMMYFUNCTION("""COMPUTED_VALUE"""),864598.0)</f>
        <v>864598</v>
      </c>
      <c r="B4278" s="2">
        <f>IFERROR(__xludf.DUMMYFUNCTION("""COMPUTED_VALUE"""),42756.38965407155)</f>
        <v>42756.38965</v>
      </c>
      <c r="C4278" s="1" t="str">
        <f>IFERROR(__xludf.DUMMYFUNCTION("""COMPUTED_VALUE"""),"treatment")</f>
        <v>treatment</v>
      </c>
      <c r="D4278" s="1" t="str">
        <f>IFERROR(__xludf.DUMMYFUNCTION("""COMPUTED_VALUE"""),"new_page")</f>
        <v>new_page</v>
      </c>
      <c r="E4278" s="1">
        <f>IFERROR(__xludf.DUMMYFUNCTION("""COMPUTED_VALUE"""),0.0)</f>
        <v>0</v>
      </c>
    </row>
    <row r="4279">
      <c r="A4279" s="1">
        <f>IFERROR(__xludf.DUMMYFUNCTION("""COMPUTED_VALUE"""),826190.0)</f>
        <v>826190</v>
      </c>
      <c r="B4279" s="2">
        <f>IFERROR(__xludf.DUMMYFUNCTION("""COMPUTED_VALUE"""),42752.87016109567)</f>
        <v>42752.87016</v>
      </c>
      <c r="C4279" s="1" t="str">
        <f>IFERROR(__xludf.DUMMYFUNCTION("""COMPUTED_VALUE"""),"control")</f>
        <v>control</v>
      </c>
      <c r="D4279" s="1" t="str">
        <f>IFERROR(__xludf.DUMMYFUNCTION("""COMPUTED_VALUE"""),"old_page")</f>
        <v>old_page</v>
      </c>
      <c r="E4279" s="1">
        <f>IFERROR(__xludf.DUMMYFUNCTION("""COMPUTED_VALUE"""),0.0)</f>
        <v>0</v>
      </c>
    </row>
    <row r="4280">
      <c r="A4280" s="1">
        <f>IFERROR(__xludf.DUMMYFUNCTION("""COMPUTED_VALUE"""),807621.0)</f>
        <v>807621</v>
      </c>
      <c r="B4280" s="2">
        <f>IFERROR(__xludf.DUMMYFUNCTION("""COMPUTED_VALUE"""),42740.051253946935)</f>
        <v>42740.05125</v>
      </c>
      <c r="C4280" s="1" t="str">
        <f>IFERROR(__xludf.DUMMYFUNCTION("""COMPUTED_VALUE"""),"control")</f>
        <v>control</v>
      </c>
      <c r="D4280" s="1" t="str">
        <f>IFERROR(__xludf.DUMMYFUNCTION("""COMPUTED_VALUE"""),"old_page")</f>
        <v>old_page</v>
      </c>
      <c r="E4280" s="1">
        <f>IFERROR(__xludf.DUMMYFUNCTION("""COMPUTED_VALUE"""),0.0)</f>
        <v>0</v>
      </c>
    </row>
    <row r="4281">
      <c r="A4281" s="1">
        <f>IFERROR(__xludf.DUMMYFUNCTION("""COMPUTED_VALUE"""),856962.0)</f>
        <v>856962</v>
      </c>
      <c r="B4281" s="2">
        <f>IFERROR(__xludf.DUMMYFUNCTION("""COMPUTED_VALUE"""),42740.54448253853)</f>
        <v>42740.54448</v>
      </c>
      <c r="C4281" s="1" t="str">
        <f>IFERROR(__xludf.DUMMYFUNCTION("""COMPUTED_VALUE"""),"treatment")</f>
        <v>treatment</v>
      </c>
      <c r="D4281" s="1" t="str">
        <f>IFERROR(__xludf.DUMMYFUNCTION("""COMPUTED_VALUE"""),"new_page")</f>
        <v>new_page</v>
      </c>
      <c r="E4281" s="1">
        <f>IFERROR(__xludf.DUMMYFUNCTION("""COMPUTED_VALUE"""),0.0)</f>
        <v>0</v>
      </c>
    </row>
    <row r="4282">
      <c r="A4282" s="1">
        <f>IFERROR(__xludf.DUMMYFUNCTION("""COMPUTED_VALUE"""),813113.0)</f>
        <v>813113</v>
      </c>
      <c r="B4282" s="2">
        <f>IFERROR(__xludf.DUMMYFUNCTION("""COMPUTED_VALUE"""),42742.8034186975)</f>
        <v>42742.80342</v>
      </c>
      <c r="C4282" s="1" t="str">
        <f>IFERROR(__xludf.DUMMYFUNCTION("""COMPUTED_VALUE"""),"treatment")</f>
        <v>treatment</v>
      </c>
      <c r="D4282" s="1" t="str">
        <f>IFERROR(__xludf.DUMMYFUNCTION("""COMPUTED_VALUE"""),"new_page")</f>
        <v>new_page</v>
      </c>
      <c r="E4282" s="1">
        <f>IFERROR(__xludf.DUMMYFUNCTION("""COMPUTED_VALUE"""),0.0)</f>
        <v>0</v>
      </c>
    </row>
    <row r="4283">
      <c r="A4283" s="1">
        <f>IFERROR(__xludf.DUMMYFUNCTION("""COMPUTED_VALUE"""),840595.0)</f>
        <v>840595</v>
      </c>
      <c r="B4283" s="2">
        <f>IFERROR(__xludf.DUMMYFUNCTION("""COMPUTED_VALUE"""),42748.464872913544)</f>
        <v>42748.46487</v>
      </c>
      <c r="C4283" s="1" t="str">
        <f>IFERROR(__xludf.DUMMYFUNCTION("""COMPUTED_VALUE"""),"control")</f>
        <v>control</v>
      </c>
      <c r="D4283" s="1" t="str">
        <f>IFERROR(__xludf.DUMMYFUNCTION("""COMPUTED_VALUE"""),"old_page")</f>
        <v>old_page</v>
      </c>
      <c r="E4283" s="1">
        <f>IFERROR(__xludf.DUMMYFUNCTION("""COMPUTED_VALUE"""),0.0)</f>
        <v>0</v>
      </c>
    </row>
    <row r="4284">
      <c r="A4284" s="1">
        <f>IFERROR(__xludf.DUMMYFUNCTION("""COMPUTED_VALUE"""),866677.0)</f>
        <v>866677</v>
      </c>
      <c r="B4284" s="2">
        <f>IFERROR(__xludf.DUMMYFUNCTION("""COMPUTED_VALUE"""),42759.21127319626)</f>
        <v>42759.21127</v>
      </c>
      <c r="C4284" s="1" t="str">
        <f>IFERROR(__xludf.DUMMYFUNCTION("""COMPUTED_VALUE"""),"control")</f>
        <v>control</v>
      </c>
      <c r="D4284" s="1" t="str">
        <f>IFERROR(__xludf.DUMMYFUNCTION("""COMPUTED_VALUE"""),"new_page")</f>
        <v>new_page</v>
      </c>
      <c r="E4284" s="1">
        <f>IFERROR(__xludf.DUMMYFUNCTION("""COMPUTED_VALUE"""),0.0)</f>
        <v>0</v>
      </c>
    </row>
    <row r="4285">
      <c r="A4285" s="1">
        <f>IFERROR(__xludf.DUMMYFUNCTION("""COMPUTED_VALUE"""),691650.0)</f>
        <v>691650</v>
      </c>
      <c r="B4285" s="2">
        <f>IFERROR(__xludf.DUMMYFUNCTION("""COMPUTED_VALUE"""),42746.69069754149)</f>
        <v>42746.6907</v>
      </c>
      <c r="C4285" s="1" t="str">
        <f>IFERROR(__xludf.DUMMYFUNCTION("""COMPUTED_VALUE"""),"control")</f>
        <v>control</v>
      </c>
      <c r="D4285" s="1" t="str">
        <f>IFERROR(__xludf.DUMMYFUNCTION("""COMPUTED_VALUE"""),"old_page")</f>
        <v>old_page</v>
      </c>
      <c r="E4285" s="1">
        <f>IFERROR(__xludf.DUMMYFUNCTION("""COMPUTED_VALUE"""),1.0)</f>
        <v>1</v>
      </c>
    </row>
    <row r="4286">
      <c r="A4286" s="1">
        <f>IFERROR(__xludf.DUMMYFUNCTION("""COMPUTED_VALUE"""),847508.0)</f>
        <v>847508</v>
      </c>
      <c r="B4286" s="2">
        <f>IFERROR(__xludf.DUMMYFUNCTION("""COMPUTED_VALUE"""),42738.813361069464)</f>
        <v>42738.81336</v>
      </c>
      <c r="C4286" s="1" t="str">
        <f>IFERROR(__xludf.DUMMYFUNCTION("""COMPUTED_VALUE"""),"control")</f>
        <v>control</v>
      </c>
      <c r="D4286" s="1" t="str">
        <f>IFERROR(__xludf.DUMMYFUNCTION("""COMPUTED_VALUE"""),"new_page")</f>
        <v>new_page</v>
      </c>
      <c r="E4286" s="1">
        <f>IFERROR(__xludf.DUMMYFUNCTION("""COMPUTED_VALUE"""),0.0)</f>
        <v>0</v>
      </c>
    </row>
    <row r="4287">
      <c r="A4287" s="1">
        <f>IFERROR(__xludf.DUMMYFUNCTION("""COMPUTED_VALUE"""),911512.0)</f>
        <v>911512</v>
      </c>
      <c r="B4287" s="2">
        <f>IFERROR(__xludf.DUMMYFUNCTION("""COMPUTED_VALUE"""),42750.92507545784)</f>
        <v>42750.92508</v>
      </c>
      <c r="C4287" s="1" t="str">
        <f>IFERROR(__xludf.DUMMYFUNCTION("""COMPUTED_VALUE"""),"control")</f>
        <v>control</v>
      </c>
      <c r="D4287" s="1" t="str">
        <f>IFERROR(__xludf.DUMMYFUNCTION("""COMPUTED_VALUE"""),"old_page")</f>
        <v>old_page</v>
      </c>
      <c r="E4287" s="1">
        <f>IFERROR(__xludf.DUMMYFUNCTION("""COMPUTED_VALUE"""),0.0)</f>
        <v>0</v>
      </c>
    </row>
    <row r="4288">
      <c r="A4288" s="1">
        <f>IFERROR(__xludf.DUMMYFUNCTION("""COMPUTED_VALUE"""),663181.0)</f>
        <v>663181</v>
      </c>
      <c r="B4288" s="2">
        <f>IFERROR(__xludf.DUMMYFUNCTION("""COMPUTED_VALUE"""),42749.71702726211)</f>
        <v>42749.71703</v>
      </c>
      <c r="C4288" s="1" t="str">
        <f>IFERROR(__xludf.DUMMYFUNCTION("""COMPUTED_VALUE"""),"control")</f>
        <v>control</v>
      </c>
      <c r="D4288" s="1" t="str">
        <f>IFERROR(__xludf.DUMMYFUNCTION("""COMPUTED_VALUE"""),"old_page")</f>
        <v>old_page</v>
      </c>
      <c r="E4288" s="1">
        <f>IFERROR(__xludf.DUMMYFUNCTION("""COMPUTED_VALUE"""),0.0)</f>
        <v>0</v>
      </c>
    </row>
    <row r="4289">
      <c r="A4289" s="1">
        <f>IFERROR(__xludf.DUMMYFUNCTION("""COMPUTED_VALUE"""),707072.0)</f>
        <v>707072</v>
      </c>
      <c r="B4289" s="2">
        <f>IFERROR(__xludf.DUMMYFUNCTION("""COMPUTED_VALUE"""),42742.58884334093)</f>
        <v>42742.58884</v>
      </c>
      <c r="C4289" s="1" t="str">
        <f>IFERROR(__xludf.DUMMYFUNCTION("""COMPUTED_VALUE"""),"control")</f>
        <v>control</v>
      </c>
      <c r="D4289" s="1" t="str">
        <f>IFERROR(__xludf.DUMMYFUNCTION("""COMPUTED_VALUE"""),"old_page")</f>
        <v>old_page</v>
      </c>
      <c r="E4289" s="1">
        <f>IFERROR(__xludf.DUMMYFUNCTION("""COMPUTED_VALUE"""),0.0)</f>
        <v>0</v>
      </c>
    </row>
    <row r="4290">
      <c r="A4290" s="1">
        <f>IFERROR(__xludf.DUMMYFUNCTION("""COMPUTED_VALUE"""),934536.0)</f>
        <v>934536</v>
      </c>
      <c r="B4290" s="2">
        <f>IFERROR(__xludf.DUMMYFUNCTION("""COMPUTED_VALUE"""),42747.92019839919)</f>
        <v>42747.9202</v>
      </c>
      <c r="C4290" s="1" t="str">
        <f>IFERROR(__xludf.DUMMYFUNCTION("""COMPUTED_VALUE"""),"control")</f>
        <v>control</v>
      </c>
      <c r="D4290" s="1" t="str">
        <f>IFERROR(__xludf.DUMMYFUNCTION("""COMPUTED_VALUE"""),"old_page")</f>
        <v>old_page</v>
      </c>
      <c r="E4290" s="1">
        <f>IFERROR(__xludf.DUMMYFUNCTION("""COMPUTED_VALUE"""),0.0)</f>
        <v>0</v>
      </c>
    </row>
    <row r="4291">
      <c r="A4291" s="1">
        <f>IFERROR(__xludf.DUMMYFUNCTION("""COMPUTED_VALUE"""),841739.0)</f>
        <v>841739</v>
      </c>
      <c r="B4291" s="2">
        <f>IFERROR(__xludf.DUMMYFUNCTION("""COMPUTED_VALUE"""),42738.48295522603)</f>
        <v>42738.48296</v>
      </c>
      <c r="C4291" s="1" t="str">
        <f>IFERROR(__xludf.DUMMYFUNCTION("""COMPUTED_VALUE"""),"control")</f>
        <v>control</v>
      </c>
      <c r="D4291" s="1" t="str">
        <f>IFERROR(__xludf.DUMMYFUNCTION("""COMPUTED_VALUE"""),"old_page")</f>
        <v>old_page</v>
      </c>
      <c r="E4291" s="1">
        <f>IFERROR(__xludf.DUMMYFUNCTION("""COMPUTED_VALUE"""),0.0)</f>
        <v>0</v>
      </c>
    </row>
    <row r="4292">
      <c r="A4292" s="1">
        <f>IFERROR(__xludf.DUMMYFUNCTION("""COMPUTED_VALUE"""),716457.0)</f>
        <v>716457</v>
      </c>
      <c r="B4292" s="2">
        <f>IFERROR(__xludf.DUMMYFUNCTION("""COMPUTED_VALUE"""),42747.53776698082)</f>
        <v>42747.53777</v>
      </c>
      <c r="C4292" s="1" t="str">
        <f>IFERROR(__xludf.DUMMYFUNCTION("""COMPUTED_VALUE"""),"control")</f>
        <v>control</v>
      </c>
      <c r="D4292" s="1" t="str">
        <f>IFERROR(__xludf.DUMMYFUNCTION("""COMPUTED_VALUE"""),"old_page")</f>
        <v>old_page</v>
      </c>
      <c r="E4292" s="1">
        <f>IFERROR(__xludf.DUMMYFUNCTION("""COMPUTED_VALUE"""),0.0)</f>
        <v>0</v>
      </c>
    </row>
    <row r="4293">
      <c r="A4293" s="1">
        <f>IFERROR(__xludf.DUMMYFUNCTION("""COMPUTED_VALUE"""),768848.0)</f>
        <v>768848</v>
      </c>
      <c r="B4293" s="2">
        <f>IFERROR(__xludf.DUMMYFUNCTION("""COMPUTED_VALUE"""),42749.83055902518)</f>
        <v>42749.83056</v>
      </c>
      <c r="C4293" s="1" t="str">
        <f>IFERROR(__xludf.DUMMYFUNCTION("""COMPUTED_VALUE"""),"control")</f>
        <v>control</v>
      </c>
      <c r="D4293" s="1" t="str">
        <f>IFERROR(__xludf.DUMMYFUNCTION("""COMPUTED_VALUE"""),"old_page")</f>
        <v>old_page</v>
      </c>
      <c r="E4293" s="1">
        <f>IFERROR(__xludf.DUMMYFUNCTION("""COMPUTED_VALUE"""),0.0)</f>
        <v>0</v>
      </c>
    </row>
    <row r="4294">
      <c r="A4294" s="1">
        <f>IFERROR(__xludf.DUMMYFUNCTION("""COMPUTED_VALUE"""),698062.0)</f>
        <v>698062</v>
      </c>
      <c r="B4294" s="2">
        <f>IFERROR(__xludf.DUMMYFUNCTION("""COMPUTED_VALUE"""),42753.11810173187)</f>
        <v>42753.1181</v>
      </c>
      <c r="C4294" s="1" t="str">
        <f>IFERROR(__xludf.DUMMYFUNCTION("""COMPUTED_VALUE"""),"treatment")</f>
        <v>treatment</v>
      </c>
      <c r="D4294" s="1" t="str">
        <f>IFERROR(__xludf.DUMMYFUNCTION("""COMPUTED_VALUE"""),"new_page")</f>
        <v>new_page</v>
      </c>
      <c r="E4294" s="1">
        <f>IFERROR(__xludf.DUMMYFUNCTION("""COMPUTED_VALUE"""),0.0)</f>
        <v>0</v>
      </c>
    </row>
    <row r="4295">
      <c r="A4295" s="1">
        <f>IFERROR(__xludf.DUMMYFUNCTION("""COMPUTED_VALUE"""),853383.0)</f>
        <v>853383</v>
      </c>
      <c r="B4295" s="2">
        <f>IFERROR(__xludf.DUMMYFUNCTION("""COMPUTED_VALUE"""),42749.036315875914)</f>
        <v>42749.03632</v>
      </c>
      <c r="C4295" s="1" t="str">
        <f>IFERROR(__xludf.DUMMYFUNCTION("""COMPUTED_VALUE"""),"treatment")</f>
        <v>treatment</v>
      </c>
      <c r="D4295" s="1" t="str">
        <f>IFERROR(__xludf.DUMMYFUNCTION("""COMPUTED_VALUE"""),"new_page")</f>
        <v>new_page</v>
      </c>
      <c r="E4295" s="1">
        <f>IFERROR(__xludf.DUMMYFUNCTION("""COMPUTED_VALUE"""),0.0)</f>
        <v>0</v>
      </c>
    </row>
    <row r="4296">
      <c r="A4296" s="1">
        <f>IFERROR(__xludf.DUMMYFUNCTION("""COMPUTED_VALUE"""),792506.0)</f>
        <v>792506</v>
      </c>
      <c r="B4296" s="2">
        <f>IFERROR(__xludf.DUMMYFUNCTION("""COMPUTED_VALUE"""),42739.367363982674)</f>
        <v>42739.36736</v>
      </c>
      <c r="C4296" s="1" t="str">
        <f>IFERROR(__xludf.DUMMYFUNCTION("""COMPUTED_VALUE"""),"control")</f>
        <v>control</v>
      </c>
      <c r="D4296" s="1" t="str">
        <f>IFERROR(__xludf.DUMMYFUNCTION("""COMPUTED_VALUE"""),"old_page")</f>
        <v>old_page</v>
      </c>
      <c r="E4296" s="1">
        <f>IFERROR(__xludf.DUMMYFUNCTION("""COMPUTED_VALUE"""),0.0)</f>
        <v>0</v>
      </c>
    </row>
    <row r="4297">
      <c r="A4297" s="1">
        <f>IFERROR(__xludf.DUMMYFUNCTION("""COMPUTED_VALUE"""),800794.0)</f>
        <v>800794</v>
      </c>
      <c r="B4297" s="2">
        <f>IFERROR(__xludf.DUMMYFUNCTION("""COMPUTED_VALUE"""),42753.75460014089)</f>
        <v>42753.7546</v>
      </c>
      <c r="C4297" s="1" t="str">
        <f>IFERROR(__xludf.DUMMYFUNCTION("""COMPUTED_VALUE"""),"control")</f>
        <v>control</v>
      </c>
      <c r="D4297" s="1" t="str">
        <f>IFERROR(__xludf.DUMMYFUNCTION("""COMPUTED_VALUE"""),"old_page")</f>
        <v>old_page</v>
      </c>
      <c r="E4297" s="1">
        <f>IFERROR(__xludf.DUMMYFUNCTION("""COMPUTED_VALUE"""),0.0)</f>
        <v>0</v>
      </c>
    </row>
    <row r="4298">
      <c r="A4298" s="1">
        <f>IFERROR(__xludf.DUMMYFUNCTION("""COMPUTED_VALUE"""),723188.0)</f>
        <v>723188</v>
      </c>
      <c r="B4298" s="2">
        <f>IFERROR(__xludf.DUMMYFUNCTION("""COMPUTED_VALUE"""),42742.46483450535)</f>
        <v>42742.46483</v>
      </c>
      <c r="C4298" s="1" t="str">
        <f>IFERROR(__xludf.DUMMYFUNCTION("""COMPUTED_VALUE"""),"control")</f>
        <v>control</v>
      </c>
      <c r="D4298" s="1" t="str">
        <f>IFERROR(__xludf.DUMMYFUNCTION("""COMPUTED_VALUE"""),"old_page")</f>
        <v>old_page</v>
      </c>
      <c r="E4298" s="1">
        <f>IFERROR(__xludf.DUMMYFUNCTION("""COMPUTED_VALUE"""),0.0)</f>
        <v>0</v>
      </c>
    </row>
    <row r="4299">
      <c r="A4299" s="1">
        <f>IFERROR(__xludf.DUMMYFUNCTION("""COMPUTED_VALUE"""),665237.0)</f>
        <v>665237</v>
      </c>
      <c r="B4299" s="2">
        <f>IFERROR(__xludf.DUMMYFUNCTION("""COMPUTED_VALUE"""),42757.32702893316)</f>
        <v>42757.32703</v>
      </c>
      <c r="C4299" s="1" t="str">
        <f>IFERROR(__xludf.DUMMYFUNCTION("""COMPUTED_VALUE"""),"treatment")</f>
        <v>treatment</v>
      </c>
      <c r="D4299" s="1" t="str">
        <f>IFERROR(__xludf.DUMMYFUNCTION("""COMPUTED_VALUE"""),"new_page")</f>
        <v>new_page</v>
      </c>
      <c r="E4299" s="1">
        <f>IFERROR(__xludf.DUMMYFUNCTION("""COMPUTED_VALUE"""),1.0)</f>
        <v>1</v>
      </c>
    </row>
    <row r="4300">
      <c r="A4300" s="1">
        <f>IFERROR(__xludf.DUMMYFUNCTION("""COMPUTED_VALUE"""),660119.0)</f>
        <v>660119</v>
      </c>
      <c r="B4300" s="2">
        <f>IFERROR(__xludf.DUMMYFUNCTION("""COMPUTED_VALUE"""),42745.64869082753)</f>
        <v>42745.64869</v>
      </c>
      <c r="C4300" s="1" t="str">
        <f>IFERROR(__xludf.DUMMYFUNCTION("""COMPUTED_VALUE"""),"treatment")</f>
        <v>treatment</v>
      </c>
      <c r="D4300" s="1" t="str">
        <f>IFERROR(__xludf.DUMMYFUNCTION("""COMPUTED_VALUE"""),"new_page")</f>
        <v>new_page</v>
      </c>
      <c r="E4300" s="1">
        <f>IFERROR(__xludf.DUMMYFUNCTION("""COMPUTED_VALUE"""),0.0)</f>
        <v>0</v>
      </c>
    </row>
    <row r="4301">
      <c r="A4301" s="1">
        <f>IFERROR(__xludf.DUMMYFUNCTION("""COMPUTED_VALUE"""),639137.0)</f>
        <v>639137</v>
      </c>
      <c r="B4301" s="2">
        <f>IFERROR(__xludf.DUMMYFUNCTION("""COMPUTED_VALUE"""),42748.43608886511)</f>
        <v>42748.43609</v>
      </c>
      <c r="C4301" s="1" t="str">
        <f>IFERROR(__xludf.DUMMYFUNCTION("""COMPUTED_VALUE"""),"treatment")</f>
        <v>treatment</v>
      </c>
      <c r="D4301" s="1" t="str">
        <f>IFERROR(__xludf.DUMMYFUNCTION("""COMPUTED_VALUE"""),"new_page")</f>
        <v>new_page</v>
      </c>
      <c r="E4301" s="1">
        <f>IFERROR(__xludf.DUMMYFUNCTION("""COMPUTED_VALUE"""),0.0)</f>
        <v>0</v>
      </c>
    </row>
    <row r="4302">
      <c r="A4302" s="1">
        <f>IFERROR(__xludf.DUMMYFUNCTION("""COMPUTED_VALUE"""),704027.0)</f>
        <v>704027</v>
      </c>
      <c r="B4302" s="2">
        <f>IFERROR(__xludf.DUMMYFUNCTION("""COMPUTED_VALUE"""),42750.10240034347)</f>
        <v>42750.1024</v>
      </c>
      <c r="C4302" s="1" t="str">
        <f>IFERROR(__xludf.DUMMYFUNCTION("""COMPUTED_VALUE"""),"control")</f>
        <v>control</v>
      </c>
      <c r="D4302" s="1" t="str">
        <f>IFERROR(__xludf.DUMMYFUNCTION("""COMPUTED_VALUE"""),"old_page")</f>
        <v>old_page</v>
      </c>
      <c r="E4302" s="1">
        <f>IFERROR(__xludf.DUMMYFUNCTION("""COMPUTED_VALUE"""),0.0)</f>
        <v>0</v>
      </c>
    </row>
    <row r="4303">
      <c r="A4303" s="1">
        <f>IFERROR(__xludf.DUMMYFUNCTION("""COMPUTED_VALUE"""),863476.0)</f>
        <v>863476</v>
      </c>
      <c r="B4303" s="2">
        <f>IFERROR(__xludf.DUMMYFUNCTION("""COMPUTED_VALUE"""),42749.897352730615)</f>
        <v>42749.89735</v>
      </c>
      <c r="C4303" s="1" t="str">
        <f>IFERROR(__xludf.DUMMYFUNCTION("""COMPUTED_VALUE"""),"treatment")</f>
        <v>treatment</v>
      </c>
      <c r="D4303" s="1" t="str">
        <f>IFERROR(__xludf.DUMMYFUNCTION("""COMPUTED_VALUE"""),"new_page")</f>
        <v>new_page</v>
      </c>
      <c r="E4303" s="1">
        <f>IFERROR(__xludf.DUMMYFUNCTION("""COMPUTED_VALUE"""),0.0)</f>
        <v>0</v>
      </c>
    </row>
    <row r="4304">
      <c r="A4304" s="1">
        <f>IFERROR(__xludf.DUMMYFUNCTION("""COMPUTED_VALUE"""),761166.0)</f>
        <v>761166</v>
      </c>
      <c r="B4304" s="2">
        <f>IFERROR(__xludf.DUMMYFUNCTION("""COMPUTED_VALUE"""),42747.848693060114)</f>
        <v>42747.84869</v>
      </c>
      <c r="C4304" s="1" t="str">
        <f>IFERROR(__xludf.DUMMYFUNCTION("""COMPUTED_VALUE"""),"control")</f>
        <v>control</v>
      </c>
      <c r="D4304" s="1" t="str">
        <f>IFERROR(__xludf.DUMMYFUNCTION("""COMPUTED_VALUE"""),"old_page")</f>
        <v>old_page</v>
      </c>
      <c r="E4304" s="1">
        <f>IFERROR(__xludf.DUMMYFUNCTION("""COMPUTED_VALUE"""),0.0)</f>
        <v>0</v>
      </c>
    </row>
    <row r="4305">
      <c r="A4305" s="1">
        <f>IFERROR(__xludf.DUMMYFUNCTION("""COMPUTED_VALUE"""),732767.0)</f>
        <v>732767</v>
      </c>
      <c r="B4305" s="2">
        <f>IFERROR(__xludf.DUMMYFUNCTION("""COMPUTED_VALUE"""),42743.00986867598)</f>
        <v>42743.00987</v>
      </c>
      <c r="C4305" s="1" t="str">
        <f>IFERROR(__xludf.DUMMYFUNCTION("""COMPUTED_VALUE"""),"treatment")</f>
        <v>treatment</v>
      </c>
      <c r="D4305" s="1" t="str">
        <f>IFERROR(__xludf.DUMMYFUNCTION("""COMPUTED_VALUE"""),"new_page")</f>
        <v>new_page</v>
      </c>
      <c r="E4305" s="1">
        <f>IFERROR(__xludf.DUMMYFUNCTION("""COMPUTED_VALUE"""),0.0)</f>
        <v>0</v>
      </c>
    </row>
    <row r="4306">
      <c r="A4306" s="1">
        <f>IFERROR(__xludf.DUMMYFUNCTION("""COMPUTED_VALUE"""),881405.0)</f>
        <v>881405</v>
      </c>
      <c r="B4306" s="2">
        <f>IFERROR(__xludf.DUMMYFUNCTION("""COMPUTED_VALUE"""),42751.99962311148)</f>
        <v>42751.99962</v>
      </c>
      <c r="C4306" s="1" t="str">
        <f>IFERROR(__xludf.DUMMYFUNCTION("""COMPUTED_VALUE"""),"treatment")</f>
        <v>treatment</v>
      </c>
      <c r="D4306" s="1" t="str">
        <f>IFERROR(__xludf.DUMMYFUNCTION("""COMPUTED_VALUE"""),"new_page")</f>
        <v>new_page</v>
      </c>
      <c r="E4306" s="1">
        <f>IFERROR(__xludf.DUMMYFUNCTION("""COMPUTED_VALUE"""),0.0)</f>
        <v>0</v>
      </c>
    </row>
    <row r="4307">
      <c r="A4307" s="1">
        <f>IFERROR(__xludf.DUMMYFUNCTION("""COMPUTED_VALUE"""),727733.0)</f>
        <v>727733</v>
      </c>
      <c r="B4307" s="2">
        <f>IFERROR(__xludf.DUMMYFUNCTION("""COMPUTED_VALUE"""),42753.42880004531)</f>
        <v>42753.4288</v>
      </c>
      <c r="C4307" s="1" t="str">
        <f>IFERROR(__xludf.DUMMYFUNCTION("""COMPUTED_VALUE"""),"control")</f>
        <v>control</v>
      </c>
      <c r="D4307" s="1" t="str">
        <f>IFERROR(__xludf.DUMMYFUNCTION("""COMPUTED_VALUE"""),"old_page")</f>
        <v>old_page</v>
      </c>
      <c r="E4307" s="1">
        <f>IFERROR(__xludf.DUMMYFUNCTION("""COMPUTED_VALUE"""),1.0)</f>
        <v>1</v>
      </c>
    </row>
    <row r="4308">
      <c r="A4308" s="1">
        <f>IFERROR(__xludf.DUMMYFUNCTION("""COMPUTED_VALUE"""),639977.0)</f>
        <v>639977</v>
      </c>
      <c r="B4308" s="2">
        <f>IFERROR(__xludf.DUMMYFUNCTION("""COMPUTED_VALUE"""),42741.1151244128)</f>
        <v>42741.11512</v>
      </c>
      <c r="C4308" s="1" t="str">
        <f>IFERROR(__xludf.DUMMYFUNCTION("""COMPUTED_VALUE"""),"control")</f>
        <v>control</v>
      </c>
      <c r="D4308" s="1" t="str">
        <f>IFERROR(__xludf.DUMMYFUNCTION("""COMPUTED_VALUE"""),"old_page")</f>
        <v>old_page</v>
      </c>
      <c r="E4308" s="1">
        <f>IFERROR(__xludf.DUMMYFUNCTION("""COMPUTED_VALUE"""),0.0)</f>
        <v>0</v>
      </c>
    </row>
    <row r="4309">
      <c r="A4309" s="1">
        <f>IFERROR(__xludf.DUMMYFUNCTION("""COMPUTED_VALUE"""),640043.0)</f>
        <v>640043</v>
      </c>
      <c r="B4309" s="2">
        <f>IFERROR(__xludf.DUMMYFUNCTION("""COMPUTED_VALUE"""),42744.83382436208)</f>
        <v>42744.83382</v>
      </c>
      <c r="C4309" s="1" t="str">
        <f>IFERROR(__xludf.DUMMYFUNCTION("""COMPUTED_VALUE"""),"treatment")</f>
        <v>treatment</v>
      </c>
      <c r="D4309" s="1" t="str">
        <f>IFERROR(__xludf.DUMMYFUNCTION("""COMPUTED_VALUE"""),"new_page")</f>
        <v>new_page</v>
      </c>
      <c r="E4309" s="1">
        <f>IFERROR(__xludf.DUMMYFUNCTION("""COMPUTED_VALUE"""),0.0)</f>
        <v>0</v>
      </c>
    </row>
    <row r="4310">
      <c r="A4310" s="1">
        <f>IFERROR(__xludf.DUMMYFUNCTION("""COMPUTED_VALUE"""),813307.0)</f>
        <v>813307</v>
      </c>
      <c r="B4310" s="2">
        <f>IFERROR(__xludf.DUMMYFUNCTION("""COMPUTED_VALUE"""),42740.072304104906)</f>
        <v>42740.0723</v>
      </c>
      <c r="C4310" s="1" t="str">
        <f>IFERROR(__xludf.DUMMYFUNCTION("""COMPUTED_VALUE"""),"treatment")</f>
        <v>treatment</v>
      </c>
      <c r="D4310" s="1" t="str">
        <f>IFERROR(__xludf.DUMMYFUNCTION("""COMPUTED_VALUE"""),"new_page")</f>
        <v>new_page</v>
      </c>
      <c r="E4310" s="1">
        <f>IFERROR(__xludf.DUMMYFUNCTION("""COMPUTED_VALUE"""),0.0)</f>
        <v>0</v>
      </c>
    </row>
    <row r="4311">
      <c r="A4311" s="1">
        <f>IFERROR(__xludf.DUMMYFUNCTION("""COMPUTED_VALUE"""),726295.0)</f>
        <v>726295</v>
      </c>
      <c r="B4311" s="2">
        <f>IFERROR(__xludf.DUMMYFUNCTION("""COMPUTED_VALUE"""),42757.20152995059)</f>
        <v>42757.20153</v>
      </c>
      <c r="C4311" s="1" t="str">
        <f>IFERROR(__xludf.DUMMYFUNCTION("""COMPUTED_VALUE"""),"treatment")</f>
        <v>treatment</v>
      </c>
      <c r="D4311" s="1" t="str">
        <f>IFERROR(__xludf.DUMMYFUNCTION("""COMPUTED_VALUE"""),"new_page")</f>
        <v>new_page</v>
      </c>
      <c r="E4311" s="1">
        <f>IFERROR(__xludf.DUMMYFUNCTION("""COMPUTED_VALUE"""),1.0)</f>
        <v>1</v>
      </c>
    </row>
    <row r="4312">
      <c r="A4312" s="1">
        <f>IFERROR(__xludf.DUMMYFUNCTION("""COMPUTED_VALUE"""),758283.0)</f>
        <v>758283</v>
      </c>
      <c r="B4312" s="2">
        <f>IFERROR(__xludf.DUMMYFUNCTION("""COMPUTED_VALUE"""),42741.75771173667)</f>
        <v>42741.75771</v>
      </c>
      <c r="C4312" s="1" t="str">
        <f>IFERROR(__xludf.DUMMYFUNCTION("""COMPUTED_VALUE"""),"control")</f>
        <v>control</v>
      </c>
      <c r="D4312" s="1" t="str">
        <f>IFERROR(__xludf.DUMMYFUNCTION("""COMPUTED_VALUE"""),"old_page")</f>
        <v>old_page</v>
      </c>
      <c r="E4312" s="1">
        <f>IFERROR(__xludf.DUMMYFUNCTION("""COMPUTED_VALUE"""),0.0)</f>
        <v>0</v>
      </c>
    </row>
    <row r="4313">
      <c r="A4313" s="1">
        <f>IFERROR(__xludf.DUMMYFUNCTION("""COMPUTED_VALUE"""),924330.0)</f>
        <v>924330</v>
      </c>
      <c r="B4313" s="2">
        <f>IFERROR(__xludf.DUMMYFUNCTION("""COMPUTED_VALUE"""),42758.297881530634)</f>
        <v>42758.29788</v>
      </c>
      <c r="C4313" s="1" t="str">
        <f>IFERROR(__xludf.DUMMYFUNCTION("""COMPUTED_VALUE"""),"control")</f>
        <v>control</v>
      </c>
      <c r="D4313" s="1" t="str">
        <f>IFERROR(__xludf.DUMMYFUNCTION("""COMPUTED_VALUE"""),"new_page")</f>
        <v>new_page</v>
      </c>
      <c r="E4313" s="1">
        <f>IFERROR(__xludf.DUMMYFUNCTION("""COMPUTED_VALUE"""),0.0)</f>
        <v>0</v>
      </c>
    </row>
    <row r="4314">
      <c r="A4314" s="1">
        <f>IFERROR(__xludf.DUMMYFUNCTION("""COMPUTED_VALUE"""),699138.0)</f>
        <v>699138</v>
      </c>
      <c r="B4314" s="2">
        <f>IFERROR(__xludf.DUMMYFUNCTION("""COMPUTED_VALUE"""),42740.503566581734)</f>
        <v>42740.50357</v>
      </c>
      <c r="C4314" s="1" t="str">
        <f>IFERROR(__xludf.DUMMYFUNCTION("""COMPUTED_VALUE"""),"treatment")</f>
        <v>treatment</v>
      </c>
      <c r="D4314" s="1" t="str">
        <f>IFERROR(__xludf.DUMMYFUNCTION("""COMPUTED_VALUE"""),"new_page")</f>
        <v>new_page</v>
      </c>
      <c r="E4314" s="1">
        <f>IFERROR(__xludf.DUMMYFUNCTION("""COMPUTED_VALUE"""),0.0)</f>
        <v>0</v>
      </c>
    </row>
    <row r="4315">
      <c r="A4315" s="1">
        <f>IFERROR(__xludf.DUMMYFUNCTION("""COMPUTED_VALUE"""),854363.0)</f>
        <v>854363</v>
      </c>
      <c r="B4315" s="2">
        <f>IFERROR(__xludf.DUMMYFUNCTION("""COMPUTED_VALUE"""),42744.93043900904)</f>
        <v>42744.93044</v>
      </c>
      <c r="C4315" s="1" t="str">
        <f>IFERROR(__xludf.DUMMYFUNCTION("""COMPUTED_VALUE"""),"control")</f>
        <v>control</v>
      </c>
      <c r="D4315" s="1" t="str">
        <f>IFERROR(__xludf.DUMMYFUNCTION("""COMPUTED_VALUE"""),"old_page")</f>
        <v>old_page</v>
      </c>
      <c r="E4315" s="1">
        <f>IFERROR(__xludf.DUMMYFUNCTION("""COMPUTED_VALUE"""),1.0)</f>
        <v>1</v>
      </c>
    </row>
    <row r="4316">
      <c r="A4316" s="1">
        <f>IFERROR(__xludf.DUMMYFUNCTION("""COMPUTED_VALUE"""),848872.0)</f>
        <v>848872</v>
      </c>
      <c r="B4316" s="2">
        <f>IFERROR(__xludf.DUMMYFUNCTION("""COMPUTED_VALUE"""),42757.06835039772)</f>
        <v>42757.06835</v>
      </c>
      <c r="C4316" s="1" t="str">
        <f>IFERROR(__xludf.DUMMYFUNCTION("""COMPUTED_VALUE"""),"treatment")</f>
        <v>treatment</v>
      </c>
      <c r="D4316" s="1" t="str">
        <f>IFERROR(__xludf.DUMMYFUNCTION("""COMPUTED_VALUE"""),"new_page")</f>
        <v>new_page</v>
      </c>
      <c r="E4316" s="1">
        <f>IFERROR(__xludf.DUMMYFUNCTION("""COMPUTED_VALUE"""),0.0)</f>
        <v>0</v>
      </c>
    </row>
    <row r="4317">
      <c r="A4317" s="1">
        <f>IFERROR(__xludf.DUMMYFUNCTION("""COMPUTED_VALUE"""),689568.0)</f>
        <v>689568</v>
      </c>
      <c r="B4317" s="2">
        <f>IFERROR(__xludf.DUMMYFUNCTION("""COMPUTED_VALUE"""),42737.6086834444)</f>
        <v>42737.60868</v>
      </c>
      <c r="C4317" s="1" t="str">
        <f>IFERROR(__xludf.DUMMYFUNCTION("""COMPUTED_VALUE"""),"control")</f>
        <v>control</v>
      </c>
      <c r="D4317" s="1" t="str">
        <f>IFERROR(__xludf.DUMMYFUNCTION("""COMPUTED_VALUE"""),"old_page")</f>
        <v>old_page</v>
      </c>
      <c r="E4317" s="1">
        <f>IFERROR(__xludf.DUMMYFUNCTION("""COMPUTED_VALUE"""),0.0)</f>
        <v>0</v>
      </c>
    </row>
    <row r="4318">
      <c r="A4318" s="1">
        <f>IFERROR(__xludf.DUMMYFUNCTION("""COMPUTED_VALUE"""),723371.0)</f>
        <v>723371</v>
      </c>
      <c r="B4318" s="2">
        <f>IFERROR(__xludf.DUMMYFUNCTION("""COMPUTED_VALUE"""),42738.08310150727)</f>
        <v>42738.0831</v>
      </c>
      <c r="C4318" s="1" t="str">
        <f>IFERROR(__xludf.DUMMYFUNCTION("""COMPUTED_VALUE"""),"control")</f>
        <v>control</v>
      </c>
      <c r="D4318" s="1" t="str">
        <f>IFERROR(__xludf.DUMMYFUNCTION("""COMPUTED_VALUE"""),"old_page")</f>
        <v>old_page</v>
      </c>
      <c r="E4318" s="1">
        <f>IFERROR(__xludf.DUMMYFUNCTION("""COMPUTED_VALUE"""),0.0)</f>
        <v>0</v>
      </c>
    </row>
    <row r="4319">
      <c r="A4319" s="1">
        <f>IFERROR(__xludf.DUMMYFUNCTION("""COMPUTED_VALUE"""),685776.0)</f>
        <v>685776</v>
      </c>
      <c r="B4319" s="2">
        <f>IFERROR(__xludf.DUMMYFUNCTION("""COMPUTED_VALUE"""),42747.42520109277)</f>
        <v>42747.4252</v>
      </c>
      <c r="C4319" s="1" t="str">
        <f>IFERROR(__xludf.DUMMYFUNCTION("""COMPUTED_VALUE"""),"treatment")</f>
        <v>treatment</v>
      </c>
      <c r="D4319" s="1" t="str">
        <f>IFERROR(__xludf.DUMMYFUNCTION("""COMPUTED_VALUE"""),"new_page")</f>
        <v>new_page</v>
      </c>
      <c r="E4319" s="1">
        <f>IFERROR(__xludf.DUMMYFUNCTION("""COMPUTED_VALUE"""),0.0)</f>
        <v>0</v>
      </c>
    </row>
    <row r="4320">
      <c r="A4320" s="1">
        <f>IFERROR(__xludf.DUMMYFUNCTION("""COMPUTED_VALUE"""),792998.0)</f>
        <v>792998</v>
      </c>
      <c r="B4320" s="2">
        <f>IFERROR(__xludf.DUMMYFUNCTION("""COMPUTED_VALUE"""),42756.98253601529)</f>
        <v>42756.98254</v>
      </c>
      <c r="C4320" s="1" t="str">
        <f>IFERROR(__xludf.DUMMYFUNCTION("""COMPUTED_VALUE"""),"control")</f>
        <v>control</v>
      </c>
      <c r="D4320" s="1" t="str">
        <f>IFERROR(__xludf.DUMMYFUNCTION("""COMPUTED_VALUE"""),"old_page")</f>
        <v>old_page</v>
      </c>
      <c r="E4320" s="1">
        <f>IFERROR(__xludf.DUMMYFUNCTION("""COMPUTED_VALUE"""),0.0)</f>
        <v>0</v>
      </c>
    </row>
    <row r="4321">
      <c r="A4321" s="1">
        <f>IFERROR(__xludf.DUMMYFUNCTION("""COMPUTED_VALUE"""),882085.0)</f>
        <v>882085</v>
      </c>
      <c r="B4321" s="2">
        <f>IFERROR(__xludf.DUMMYFUNCTION("""COMPUTED_VALUE"""),42746.63884032127)</f>
        <v>42746.63884</v>
      </c>
      <c r="C4321" s="1" t="str">
        <f>IFERROR(__xludf.DUMMYFUNCTION("""COMPUTED_VALUE"""),"control")</f>
        <v>control</v>
      </c>
      <c r="D4321" s="1" t="str">
        <f>IFERROR(__xludf.DUMMYFUNCTION("""COMPUTED_VALUE"""),"old_page")</f>
        <v>old_page</v>
      </c>
      <c r="E4321" s="1">
        <f>IFERROR(__xludf.DUMMYFUNCTION("""COMPUTED_VALUE"""),0.0)</f>
        <v>0</v>
      </c>
    </row>
    <row r="4322">
      <c r="A4322" s="1">
        <f>IFERROR(__xludf.DUMMYFUNCTION("""COMPUTED_VALUE"""),854587.0)</f>
        <v>854587</v>
      </c>
      <c r="B4322" s="2">
        <f>IFERROR(__xludf.DUMMYFUNCTION("""COMPUTED_VALUE"""),42747.828755242845)</f>
        <v>42747.82876</v>
      </c>
      <c r="C4322" s="1" t="str">
        <f>IFERROR(__xludf.DUMMYFUNCTION("""COMPUTED_VALUE"""),"control")</f>
        <v>control</v>
      </c>
      <c r="D4322" s="1" t="str">
        <f>IFERROR(__xludf.DUMMYFUNCTION("""COMPUTED_VALUE"""),"old_page")</f>
        <v>old_page</v>
      </c>
      <c r="E4322" s="1">
        <f>IFERROR(__xludf.DUMMYFUNCTION("""COMPUTED_VALUE"""),0.0)</f>
        <v>0</v>
      </c>
    </row>
    <row r="4323">
      <c r="A4323" s="1">
        <f>IFERROR(__xludf.DUMMYFUNCTION("""COMPUTED_VALUE"""),681690.0)</f>
        <v>681690</v>
      </c>
      <c r="B4323" s="2">
        <f>IFERROR(__xludf.DUMMYFUNCTION("""COMPUTED_VALUE"""),42749.84545027309)</f>
        <v>42749.84545</v>
      </c>
      <c r="C4323" s="1" t="str">
        <f>IFERROR(__xludf.DUMMYFUNCTION("""COMPUTED_VALUE"""),"control")</f>
        <v>control</v>
      </c>
      <c r="D4323" s="1" t="str">
        <f>IFERROR(__xludf.DUMMYFUNCTION("""COMPUTED_VALUE"""),"old_page")</f>
        <v>old_page</v>
      </c>
      <c r="E4323" s="1">
        <f>IFERROR(__xludf.DUMMYFUNCTION("""COMPUTED_VALUE"""),0.0)</f>
        <v>0</v>
      </c>
    </row>
    <row r="4324">
      <c r="A4324" s="1">
        <f>IFERROR(__xludf.DUMMYFUNCTION("""COMPUTED_VALUE"""),833511.0)</f>
        <v>833511</v>
      </c>
      <c r="B4324" s="2">
        <f>IFERROR(__xludf.DUMMYFUNCTION("""COMPUTED_VALUE"""),42739.18922631279)</f>
        <v>42739.18923</v>
      </c>
      <c r="C4324" s="1" t="str">
        <f>IFERROR(__xludf.DUMMYFUNCTION("""COMPUTED_VALUE"""),"control")</f>
        <v>control</v>
      </c>
      <c r="D4324" s="1" t="str">
        <f>IFERROR(__xludf.DUMMYFUNCTION("""COMPUTED_VALUE"""),"old_page")</f>
        <v>old_page</v>
      </c>
      <c r="E4324" s="1">
        <f>IFERROR(__xludf.DUMMYFUNCTION("""COMPUTED_VALUE"""),0.0)</f>
        <v>0</v>
      </c>
    </row>
    <row r="4325">
      <c r="A4325" s="1">
        <f>IFERROR(__xludf.DUMMYFUNCTION("""COMPUTED_VALUE"""),811593.0)</f>
        <v>811593</v>
      </c>
      <c r="B4325" s="2">
        <f>IFERROR(__xludf.DUMMYFUNCTION("""COMPUTED_VALUE"""),42747.91138133548)</f>
        <v>42747.91138</v>
      </c>
      <c r="C4325" s="1" t="str">
        <f>IFERROR(__xludf.DUMMYFUNCTION("""COMPUTED_VALUE"""),"control")</f>
        <v>control</v>
      </c>
      <c r="D4325" s="1" t="str">
        <f>IFERROR(__xludf.DUMMYFUNCTION("""COMPUTED_VALUE"""),"old_page")</f>
        <v>old_page</v>
      </c>
      <c r="E4325" s="1">
        <f>IFERROR(__xludf.DUMMYFUNCTION("""COMPUTED_VALUE"""),0.0)</f>
        <v>0</v>
      </c>
    </row>
    <row r="4326">
      <c r="A4326" s="1">
        <f>IFERROR(__xludf.DUMMYFUNCTION("""COMPUTED_VALUE"""),692833.0)</f>
        <v>692833</v>
      </c>
      <c r="B4326" s="2">
        <f>IFERROR(__xludf.DUMMYFUNCTION("""COMPUTED_VALUE"""),42756.45001329558)</f>
        <v>42756.45001</v>
      </c>
      <c r="C4326" s="1" t="str">
        <f>IFERROR(__xludf.DUMMYFUNCTION("""COMPUTED_VALUE"""),"treatment")</f>
        <v>treatment</v>
      </c>
      <c r="D4326" s="1" t="str">
        <f>IFERROR(__xludf.DUMMYFUNCTION("""COMPUTED_VALUE"""),"new_page")</f>
        <v>new_page</v>
      </c>
      <c r="E4326" s="1">
        <f>IFERROR(__xludf.DUMMYFUNCTION("""COMPUTED_VALUE"""),0.0)</f>
        <v>0</v>
      </c>
    </row>
    <row r="4327">
      <c r="A4327" s="1">
        <f>IFERROR(__xludf.DUMMYFUNCTION("""COMPUTED_VALUE"""),684656.0)</f>
        <v>684656</v>
      </c>
      <c r="B4327" s="2">
        <f>IFERROR(__xludf.DUMMYFUNCTION("""COMPUTED_VALUE"""),42758.41336102132)</f>
        <v>42758.41336</v>
      </c>
      <c r="C4327" s="1" t="str">
        <f>IFERROR(__xludf.DUMMYFUNCTION("""COMPUTED_VALUE"""),"control")</f>
        <v>control</v>
      </c>
      <c r="D4327" s="1" t="str">
        <f>IFERROR(__xludf.DUMMYFUNCTION("""COMPUTED_VALUE"""),"old_page")</f>
        <v>old_page</v>
      </c>
      <c r="E4327" s="1">
        <f>IFERROR(__xludf.DUMMYFUNCTION("""COMPUTED_VALUE"""),0.0)</f>
        <v>0</v>
      </c>
    </row>
    <row r="4328">
      <c r="A4328" s="1">
        <f>IFERROR(__xludf.DUMMYFUNCTION("""COMPUTED_VALUE"""),903735.0)</f>
        <v>903735</v>
      </c>
      <c r="B4328" s="2">
        <f>IFERROR(__xludf.DUMMYFUNCTION("""COMPUTED_VALUE"""),42739.53391675293)</f>
        <v>42739.53392</v>
      </c>
      <c r="C4328" s="1" t="str">
        <f>IFERROR(__xludf.DUMMYFUNCTION("""COMPUTED_VALUE"""),"control")</f>
        <v>control</v>
      </c>
      <c r="D4328" s="1" t="str">
        <f>IFERROR(__xludf.DUMMYFUNCTION("""COMPUTED_VALUE"""),"old_page")</f>
        <v>old_page</v>
      </c>
      <c r="E4328" s="1">
        <f>IFERROR(__xludf.DUMMYFUNCTION("""COMPUTED_VALUE"""),0.0)</f>
        <v>0</v>
      </c>
    </row>
    <row r="4329">
      <c r="A4329" s="1">
        <f>IFERROR(__xludf.DUMMYFUNCTION("""COMPUTED_VALUE"""),755228.0)</f>
        <v>755228</v>
      </c>
      <c r="B4329" s="2">
        <f>IFERROR(__xludf.DUMMYFUNCTION("""COMPUTED_VALUE"""),42748.64137361923)</f>
        <v>42748.64137</v>
      </c>
      <c r="C4329" s="1" t="str">
        <f>IFERROR(__xludf.DUMMYFUNCTION("""COMPUTED_VALUE"""),"control")</f>
        <v>control</v>
      </c>
      <c r="D4329" s="1" t="str">
        <f>IFERROR(__xludf.DUMMYFUNCTION("""COMPUTED_VALUE"""),"old_page")</f>
        <v>old_page</v>
      </c>
      <c r="E4329" s="1">
        <f>IFERROR(__xludf.DUMMYFUNCTION("""COMPUTED_VALUE"""),0.0)</f>
        <v>0</v>
      </c>
    </row>
    <row r="4330">
      <c r="A4330" s="1">
        <f>IFERROR(__xludf.DUMMYFUNCTION("""COMPUTED_VALUE"""),773978.0)</f>
        <v>773978</v>
      </c>
      <c r="B4330" s="2">
        <f>IFERROR(__xludf.DUMMYFUNCTION("""COMPUTED_VALUE"""),42746.51874502922)</f>
        <v>42746.51875</v>
      </c>
      <c r="C4330" s="1" t="str">
        <f>IFERROR(__xludf.DUMMYFUNCTION("""COMPUTED_VALUE"""),"control")</f>
        <v>control</v>
      </c>
      <c r="D4330" s="1" t="str">
        <f>IFERROR(__xludf.DUMMYFUNCTION("""COMPUTED_VALUE"""),"old_page")</f>
        <v>old_page</v>
      </c>
      <c r="E4330" s="1">
        <f>IFERROR(__xludf.DUMMYFUNCTION("""COMPUTED_VALUE"""),0.0)</f>
        <v>0</v>
      </c>
    </row>
    <row r="4331">
      <c r="A4331" s="1">
        <f>IFERROR(__xludf.DUMMYFUNCTION("""COMPUTED_VALUE"""),883501.0)</f>
        <v>883501</v>
      </c>
      <c r="B4331" s="2">
        <f>IFERROR(__xludf.DUMMYFUNCTION("""COMPUTED_VALUE"""),42740.52713514496)</f>
        <v>42740.52714</v>
      </c>
      <c r="C4331" s="1" t="str">
        <f>IFERROR(__xludf.DUMMYFUNCTION("""COMPUTED_VALUE"""),"control")</f>
        <v>control</v>
      </c>
      <c r="D4331" s="1" t="str">
        <f>IFERROR(__xludf.DUMMYFUNCTION("""COMPUTED_VALUE"""),"old_page")</f>
        <v>old_page</v>
      </c>
      <c r="E4331" s="1">
        <f>IFERROR(__xludf.DUMMYFUNCTION("""COMPUTED_VALUE"""),0.0)</f>
        <v>0</v>
      </c>
    </row>
    <row r="4332">
      <c r="A4332" s="1">
        <f>IFERROR(__xludf.DUMMYFUNCTION("""COMPUTED_VALUE"""),784270.0)</f>
        <v>784270</v>
      </c>
      <c r="B4332" s="2">
        <f>IFERROR(__xludf.DUMMYFUNCTION("""COMPUTED_VALUE"""),42746.37747757901)</f>
        <v>42746.37748</v>
      </c>
      <c r="C4332" s="1" t="str">
        <f>IFERROR(__xludf.DUMMYFUNCTION("""COMPUTED_VALUE"""),"treatment")</f>
        <v>treatment</v>
      </c>
      <c r="D4332" s="1" t="str">
        <f>IFERROR(__xludf.DUMMYFUNCTION("""COMPUTED_VALUE"""),"new_page")</f>
        <v>new_page</v>
      </c>
      <c r="E4332" s="1">
        <f>IFERROR(__xludf.DUMMYFUNCTION("""COMPUTED_VALUE"""),0.0)</f>
        <v>0</v>
      </c>
    </row>
    <row r="4333">
      <c r="A4333" s="1">
        <f>IFERROR(__xludf.DUMMYFUNCTION("""COMPUTED_VALUE"""),861014.0)</f>
        <v>861014</v>
      </c>
      <c r="B4333" s="2">
        <f>IFERROR(__xludf.DUMMYFUNCTION("""COMPUTED_VALUE"""),42743.663939161386)</f>
        <v>42743.66394</v>
      </c>
      <c r="C4333" s="1" t="str">
        <f>IFERROR(__xludf.DUMMYFUNCTION("""COMPUTED_VALUE"""),"control")</f>
        <v>control</v>
      </c>
      <c r="D4333" s="1" t="str">
        <f>IFERROR(__xludf.DUMMYFUNCTION("""COMPUTED_VALUE"""),"old_page")</f>
        <v>old_page</v>
      </c>
      <c r="E4333" s="1">
        <f>IFERROR(__xludf.DUMMYFUNCTION("""COMPUTED_VALUE"""),0.0)</f>
        <v>0</v>
      </c>
    </row>
    <row r="4334">
      <c r="A4334" s="1">
        <f>IFERROR(__xludf.DUMMYFUNCTION("""COMPUTED_VALUE"""),735483.0)</f>
        <v>735483</v>
      </c>
      <c r="B4334" s="2">
        <f>IFERROR(__xludf.DUMMYFUNCTION("""COMPUTED_VALUE"""),42754.88240234028)</f>
        <v>42754.8824</v>
      </c>
      <c r="C4334" s="1" t="str">
        <f>IFERROR(__xludf.DUMMYFUNCTION("""COMPUTED_VALUE"""),"control")</f>
        <v>control</v>
      </c>
      <c r="D4334" s="1" t="str">
        <f>IFERROR(__xludf.DUMMYFUNCTION("""COMPUTED_VALUE"""),"old_page")</f>
        <v>old_page</v>
      </c>
      <c r="E4334" s="1">
        <f>IFERROR(__xludf.DUMMYFUNCTION("""COMPUTED_VALUE"""),0.0)</f>
        <v>0</v>
      </c>
    </row>
    <row r="4335">
      <c r="A4335" s="1">
        <f>IFERROR(__xludf.DUMMYFUNCTION("""COMPUTED_VALUE"""),791945.0)</f>
        <v>791945</v>
      </c>
      <c r="B4335" s="2">
        <f>IFERROR(__xludf.DUMMYFUNCTION("""COMPUTED_VALUE"""),42750.64666139273)</f>
        <v>42750.64666</v>
      </c>
      <c r="C4335" s="1" t="str">
        <f>IFERROR(__xludf.DUMMYFUNCTION("""COMPUTED_VALUE"""),"treatment")</f>
        <v>treatment</v>
      </c>
      <c r="D4335" s="1" t="str">
        <f>IFERROR(__xludf.DUMMYFUNCTION("""COMPUTED_VALUE"""),"new_page")</f>
        <v>new_page</v>
      </c>
      <c r="E4335" s="1">
        <f>IFERROR(__xludf.DUMMYFUNCTION("""COMPUTED_VALUE"""),0.0)</f>
        <v>0</v>
      </c>
    </row>
    <row r="4336">
      <c r="A4336" s="1">
        <f>IFERROR(__xludf.DUMMYFUNCTION("""COMPUTED_VALUE"""),702926.0)</f>
        <v>702926</v>
      </c>
      <c r="B4336" s="2">
        <f>IFERROR(__xludf.DUMMYFUNCTION("""COMPUTED_VALUE"""),42742.05173645125)</f>
        <v>42742.05174</v>
      </c>
      <c r="C4336" s="1" t="str">
        <f>IFERROR(__xludf.DUMMYFUNCTION("""COMPUTED_VALUE"""),"control")</f>
        <v>control</v>
      </c>
      <c r="D4336" s="1" t="str">
        <f>IFERROR(__xludf.DUMMYFUNCTION("""COMPUTED_VALUE"""),"old_page")</f>
        <v>old_page</v>
      </c>
      <c r="E4336" s="1">
        <f>IFERROR(__xludf.DUMMYFUNCTION("""COMPUTED_VALUE"""),1.0)</f>
        <v>1</v>
      </c>
    </row>
    <row r="4337">
      <c r="A4337" s="1">
        <f>IFERROR(__xludf.DUMMYFUNCTION("""COMPUTED_VALUE"""),683222.0)</f>
        <v>683222</v>
      </c>
      <c r="B4337" s="2">
        <f>IFERROR(__xludf.DUMMYFUNCTION("""COMPUTED_VALUE"""),42747.98331604257)</f>
        <v>42747.98332</v>
      </c>
      <c r="C4337" s="1" t="str">
        <f>IFERROR(__xludf.DUMMYFUNCTION("""COMPUTED_VALUE"""),"treatment")</f>
        <v>treatment</v>
      </c>
      <c r="D4337" s="1" t="str">
        <f>IFERROR(__xludf.DUMMYFUNCTION("""COMPUTED_VALUE"""),"new_page")</f>
        <v>new_page</v>
      </c>
      <c r="E4337" s="1">
        <f>IFERROR(__xludf.DUMMYFUNCTION("""COMPUTED_VALUE"""),1.0)</f>
        <v>1</v>
      </c>
    </row>
    <row r="4338">
      <c r="A4338" s="1">
        <f>IFERROR(__xludf.DUMMYFUNCTION("""COMPUTED_VALUE"""),863630.0)</f>
        <v>863630</v>
      </c>
      <c r="B4338" s="2">
        <f>IFERROR(__xludf.DUMMYFUNCTION("""COMPUTED_VALUE"""),42755.47823168513)</f>
        <v>42755.47823</v>
      </c>
      <c r="C4338" s="1" t="str">
        <f>IFERROR(__xludf.DUMMYFUNCTION("""COMPUTED_VALUE"""),"treatment")</f>
        <v>treatment</v>
      </c>
      <c r="D4338" s="1" t="str">
        <f>IFERROR(__xludf.DUMMYFUNCTION("""COMPUTED_VALUE"""),"new_page")</f>
        <v>new_page</v>
      </c>
      <c r="E4338" s="1">
        <f>IFERROR(__xludf.DUMMYFUNCTION("""COMPUTED_VALUE"""),0.0)</f>
        <v>0</v>
      </c>
    </row>
    <row r="4339">
      <c r="A4339" s="1">
        <f>IFERROR(__xludf.DUMMYFUNCTION("""COMPUTED_VALUE"""),901257.0)</f>
        <v>901257</v>
      </c>
      <c r="B4339" s="2">
        <f>IFERROR(__xludf.DUMMYFUNCTION("""COMPUTED_VALUE"""),42743.101214753726)</f>
        <v>42743.10121</v>
      </c>
      <c r="C4339" s="1" t="str">
        <f>IFERROR(__xludf.DUMMYFUNCTION("""COMPUTED_VALUE"""),"treatment")</f>
        <v>treatment</v>
      </c>
      <c r="D4339" s="1" t="str">
        <f>IFERROR(__xludf.DUMMYFUNCTION("""COMPUTED_VALUE"""),"new_page")</f>
        <v>new_page</v>
      </c>
      <c r="E4339" s="1">
        <f>IFERROR(__xludf.DUMMYFUNCTION("""COMPUTED_VALUE"""),0.0)</f>
        <v>0</v>
      </c>
    </row>
    <row r="4340">
      <c r="A4340" s="1">
        <f>IFERROR(__xludf.DUMMYFUNCTION("""COMPUTED_VALUE"""),835889.0)</f>
        <v>835889</v>
      </c>
      <c r="B4340" s="2">
        <f>IFERROR(__xludf.DUMMYFUNCTION("""COMPUTED_VALUE"""),42744.26386327224)</f>
        <v>42744.26386</v>
      </c>
      <c r="C4340" s="1" t="str">
        <f>IFERROR(__xludf.DUMMYFUNCTION("""COMPUTED_VALUE"""),"control")</f>
        <v>control</v>
      </c>
      <c r="D4340" s="1" t="str">
        <f>IFERROR(__xludf.DUMMYFUNCTION("""COMPUTED_VALUE"""),"old_page")</f>
        <v>old_page</v>
      </c>
      <c r="E4340" s="1">
        <f>IFERROR(__xludf.DUMMYFUNCTION("""COMPUTED_VALUE"""),0.0)</f>
        <v>0</v>
      </c>
    </row>
    <row r="4341">
      <c r="A4341" s="1">
        <f>IFERROR(__xludf.DUMMYFUNCTION("""COMPUTED_VALUE"""),672377.0)</f>
        <v>672377</v>
      </c>
      <c r="B4341" s="2">
        <f>IFERROR(__xludf.DUMMYFUNCTION("""COMPUTED_VALUE"""),42744.31248196215)</f>
        <v>42744.31248</v>
      </c>
      <c r="C4341" s="1" t="str">
        <f>IFERROR(__xludf.DUMMYFUNCTION("""COMPUTED_VALUE"""),"control")</f>
        <v>control</v>
      </c>
      <c r="D4341" s="1" t="str">
        <f>IFERROR(__xludf.DUMMYFUNCTION("""COMPUTED_VALUE"""),"old_page")</f>
        <v>old_page</v>
      </c>
      <c r="E4341" s="1">
        <f>IFERROR(__xludf.DUMMYFUNCTION("""COMPUTED_VALUE"""),0.0)</f>
        <v>0</v>
      </c>
    </row>
    <row r="4342">
      <c r="A4342" s="1">
        <f>IFERROR(__xludf.DUMMYFUNCTION("""COMPUTED_VALUE"""),686650.0)</f>
        <v>686650</v>
      </c>
      <c r="B4342" s="2">
        <f>IFERROR(__xludf.DUMMYFUNCTION("""COMPUTED_VALUE"""),42742.699678263256)</f>
        <v>42742.69968</v>
      </c>
      <c r="C4342" s="1" t="str">
        <f>IFERROR(__xludf.DUMMYFUNCTION("""COMPUTED_VALUE"""),"treatment")</f>
        <v>treatment</v>
      </c>
      <c r="D4342" s="1" t="str">
        <f>IFERROR(__xludf.DUMMYFUNCTION("""COMPUTED_VALUE"""),"new_page")</f>
        <v>new_page</v>
      </c>
      <c r="E4342" s="1">
        <f>IFERROR(__xludf.DUMMYFUNCTION("""COMPUTED_VALUE"""),0.0)</f>
        <v>0</v>
      </c>
    </row>
    <row r="4343">
      <c r="A4343" s="1">
        <f>IFERROR(__xludf.DUMMYFUNCTION("""COMPUTED_VALUE"""),718783.0)</f>
        <v>718783</v>
      </c>
      <c r="B4343" s="2">
        <f>IFERROR(__xludf.DUMMYFUNCTION("""COMPUTED_VALUE"""),42750.29149723354)</f>
        <v>42750.2915</v>
      </c>
      <c r="C4343" s="1" t="str">
        <f>IFERROR(__xludf.DUMMYFUNCTION("""COMPUTED_VALUE"""),"control")</f>
        <v>control</v>
      </c>
      <c r="D4343" s="1" t="str">
        <f>IFERROR(__xludf.DUMMYFUNCTION("""COMPUTED_VALUE"""),"old_page")</f>
        <v>old_page</v>
      </c>
      <c r="E4343" s="1">
        <f>IFERROR(__xludf.DUMMYFUNCTION("""COMPUTED_VALUE"""),0.0)</f>
        <v>0</v>
      </c>
    </row>
    <row r="4344">
      <c r="A4344" s="1">
        <f>IFERROR(__xludf.DUMMYFUNCTION("""COMPUTED_VALUE"""),721198.0)</f>
        <v>721198</v>
      </c>
      <c r="B4344" s="2">
        <f>IFERROR(__xludf.DUMMYFUNCTION("""COMPUTED_VALUE"""),42743.92293302759)</f>
        <v>42743.92293</v>
      </c>
      <c r="C4344" s="1" t="str">
        <f>IFERROR(__xludf.DUMMYFUNCTION("""COMPUTED_VALUE"""),"control")</f>
        <v>control</v>
      </c>
      <c r="D4344" s="1" t="str">
        <f>IFERROR(__xludf.DUMMYFUNCTION("""COMPUTED_VALUE"""),"old_page")</f>
        <v>old_page</v>
      </c>
      <c r="E4344" s="1">
        <f>IFERROR(__xludf.DUMMYFUNCTION("""COMPUTED_VALUE"""),0.0)</f>
        <v>0</v>
      </c>
    </row>
    <row r="4345">
      <c r="A4345" s="1">
        <f>IFERROR(__xludf.DUMMYFUNCTION("""COMPUTED_VALUE"""),900614.0)</f>
        <v>900614</v>
      </c>
      <c r="B4345" s="2">
        <f>IFERROR(__xludf.DUMMYFUNCTION("""COMPUTED_VALUE"""),42755.83631953385)</f>
        <v>42755.83632</v>
      </c>
      <c r="C4345" s="1" t="str">
        <f>IFERROR(__xludf.DUMMYFUNCTION("""COMPUTED_VALUE"""),"control")</f>
        <v>control</v>
      </c>
      <c r="D4345" s="1" t="str">
        <f>IFERROR(__xludf.DUMMYFUNCTION("""COMPUTED_VALUE"""),"old_page")</f>
        <v>old_page</v>
      </c>
      <c r="E4345" s="1">
        <f>IFERROR(__xludf.DUMMYFUNCTION("""COMPUTED_VALUE"""),0.0)</f>
        <v>0</v>
      </c>
    </row>
    <row r="4346">
      <c r="A4346" s="1">
        <f>IFERROR(__xludf.DUMMYFUNCTION("""COMPUTED_VALUE"""),898024.0)</f>
        <v>898024</v>
      </c>
      <c r="B4346" s="2">
        <f>IFERROR(__xludf.DUMMYFUNCTION("""COMPUTED_VALUE"""),42755.18562407476)</f>
        <v>42755.18562</v>
      </c>
      <c r="C4346" s="1" t="str">
        <f>IFERROR(__xludf.DUMMYFUNCTION("""COMPUTED_VALUE"""),"treatment")</f>
        <v>treatment</v>
      </c>
      <c r="D4346" s="1" t="str">
        <f>IFERROR(__xludf.DUMMYFUNCTION("""COMPUTED_VALUE"""),"new_page")</f>
        <v>new_page</v>
      </c>
      <c r="E4346" s="1">
        <f>IFERROR(__xludf.DUMMYFUNCTION("""COMPUTED_VALUE"""),0.0)</f>
        <v>0</v>
      </c>
    </row>
    <row r="4347">
      <c r="A4347" s="1">
        <f>IFERROR(__xludf.DUMMYFUNCTION("""COMPUTED_VALUE"""),944863.0)</f>
        <v>944863</v>
      </c>
      <c r="B4347" s="2">
        <f>IFERROR(__xludf.DUMMYFUNCTION("""COMPUTED_VALUE"""),42750.45929596795)</f>
        <v>42750.4593</v>
      </c>
      <c r="C4347" s="1" t="str">
        <f>IFERROR(__xludf.DUMMYFUNCTION("""COMPUTED_VALUE"""),"treatment")</f>
        <v>treatment</v>
      </c>
      <c r="D4347" s="1" t="str">
        <f>IFERROR(__xludf.DUMMYFUNCTION("""COMPUTED_VALUE"""),"new_page")</f>
        <v>new_page</v>
      </c>
      <c r="E4347" s="1">
        <f>IFERROR(__xludf.DUMMYFUNCTION("""COMPUTED_VALUE"""),0.0)</f>
        <v>0</v>
      </c>
    </row>
    <row r="4348">
      <c r="A4348" s="1">
        <f>IFERROR(__xludf.DUMMYFUNCTION("""COMPUTED_VALUE"""),713617.0)</f>
        <v>713617</v>
      </c>
      <c r="B4348" s="2">
        <f>IFERROR(__xludf.DUMMYFUNCTION("""COMPUTED_VALUE"""),42743.21612817843)</f>
        <v>42743.21613</v>
      </c>
      <c r="C4348" s="1" t="str">
        <f>IFERROR(__xludf.DUMMYFUNCTION("""COMPUTED_VALUE"""),"treatment")</f>
        <v>treatment</v>
      </c>
      <c r="D4348" s="1" t="str">
        <f>IFERROR(__xludf.DUMMYFUNCTION("""COMPUTED_VALUE"""),"new_page")</f>
        <v>new_page</v>
      </c>
      <c r="E4348" s="1">
        <f>IFERROR(__xludf.DUMMYFUNCTION("""COMPUTED_VALUE"""),0.0)</f>
        <v>0</v>
      </c>
    </row>
    <row r="4349">
      <c r="A4349" s="1">
        <f>IFERROR(__xludf.DUMMYFUNCTION("""COMPUTED_VALUE"""),844910.0)</f>
        <v>844910</v>
      </c>
      <c r="B4349" s="2">
        <f>IFERROR(__xludf.DUMMYFUNCTION("""COMPUTED_VALUE"""),42746.29918985317)</f>
        <v>42746.29919</v>
      </c>
      <c r="C4349" s="1" t="str">
        <f>IFERROR(__xludf.DUMMYFUNCTION("""COMPUTED_VALUE"""),"treatment")</f>
        <v>treatment</v>
      </c>
      <c r="D4349" s="1" t="str">
        <f>IFERROR(__xludf.DUMMYFUNCTION("""COMPUTED_VALUE"""),"new_page")</f>
        <v>new_page</v>
      </c>
      <c r="E4349" s="1">
        <f>IFERROR(__xludf.DUMMYFUNCTION("""COMPUTED_VALUE"""),0.0)</f>
        <v>0</v>
      </c>
    </row>
    <row r="4350">
      <c r="A4350" s="1">
        <f>IFERROR(__xludf.DUMMYFUNCTION("""COMPUTED_VALUE"""),647064.0)</f>
        <v>647064</v>
      </c>
      <c r="B4350" s="2">
        <f>IFERROR(__xludf.DUMMYFUNCTION("""COMPUTED_VALUE"""),42750.42250573485)</f>
        <v>42750.42251</v>
      </c>
      <c r="C4350" s="1" t="str">
        <f>IFERROR(__xludf.DUMMYFUNCTION("""COMPUTED_VALUE"""),"control")</f>
        <v>control</v>
      </c>
      <c r="D4350" s="1" t="str">
        <f>IFERROR(__xludf.DUMMYFUNCTION("""COMPUTED_VALUE"""),"old_page")</f>
        <v>old_page</v>
      </c>
      <c r="E4350" s="1">
        <f>IFERROR(__xludf.DUMMYFUNCTION("""COMPUTED_VALUE"""),0.0)</f>
        <v>0</v>
      </c>
    </row>
    <row r="4351">
      <c r="A4351" s="1">
        <f>IFERROR(__xludf.DUMMYFUNCTION("""COMPUTED_VALUE"""),937563.0)</f>
        <v>937563</v>
      </c>
      <c r="B4351" s="2">
        <f>IFERROR(__xludf.DUMMYFUNCTION("""COMPUTED_VALUE"""),42739.68799293021)</f>
        <v>42739.68799</v>
      </c>
      <c r="C4351" s="1" t="str">
        <f>IFERROR(__xludf.DUMMYFUNCTION("""COMPUTED_VALUE"""),"treatment")</f>
        <v>treatment</v>
      </c>
      <c r="D4351" s="1" t="str">
        <f>IFERROR(__xludf.DUMMYFUNCTION("""COMPUTED_VALUE"""),"new_page")</f>
        <v>new_page</v>
      </c>
      <c r="E4351" s="1">
        <f>IFERROR(__xludf.DUMMYFUNCTION("""COMPUTED_VALUE"""),0.0)</f>
        <v>0</v>
      </c>
    </row>
    <row r="4352">
      <c r="A4352" s="1">
        <f>IFERROR(__xludf.DUMMYFUNCTION("""COMPUTED_VALUE"""),903445.0)</f>
        <v>903445</v>
      </c>
      <c r="B4352" s="2">
        <f>IFERROR(__xludf.DUMMYFUNCTION("""COMPUTED_VALUE"""),42743.4480816089)</f>
        <v>42743.44808</v>
      </c>
      <c r="C4352" s="1" t="str">
        <f>IFERROR(__xludf.DUMMYFUNCTION("""COMPUTED_VALUE"""),"treatment")</f>
        <v>treatment</v>
      </c>
      <c r="D4352" s="1" t="str">
        <f>IFERROR(__xludf.DUMMYFUNCTION("""COMPUTED_VALUE"""),"new_page")</f>
        <v>new_page</v>
      </c>
      <c r="E4352" s="1">
        <f>IFERROR(__xludf.DUMMYFUNCTION("""COMPUTED_VALUE"""),0.0)</f>
        <v>0</v>
      </c>
    </row>
    <row r="4353">
      <c r="A4353" s="1">
        <f>IFERROR(__xludf.DUMMYFUNCTION("""COMPUTED_VALUE"""),909125.0)</f>
        <v>909125</v>
      </c>
      <c r="B4353" s="2">
        <f>IFERROR(__xludf.DUMMYFUNCTION("""COMPUTED_VALUE"""),42741.64518426267)</f>
        <v>42741.64518</v>
      </c>
      <c r="C4353" s="1" t="str">
        <f>IFERROR(__xludf.DUMMYFUNCTION("""COMPUTED_VALUE"""),"control")</f>
        <v>control</v>
      </c>
      <c r="D4353" s="1" t="str">
        <f>IFERROR(__xludf.DUMMYFUNCTION("""COMPUTED_VALUE"""),"old_page")</f>
        <v>old_page</v>
      </c>
      <c r="E4353" s="1">
        <f>IFERROR(__xludf.DUMMYFUNCTION("""COMPUTED_VALUE"""),0.0)</f>
        <v>0</v>
      </c>
    </row>
    <row r="4354">
      <c r="A4354" s="1">
        <f>IFERROR(__xludf.DUMMYFUNCTION("""COMPUTED_VALUE"""),838936.0)</f>
        <v>838936</v>
      </c>
      <c r="B4354" s="2">
        <f>IFERROR(__xludf.DUMMYFUNCTION("""COMPUTED_VALUE"""),42747.69316293708)</f>
        <v>42747.69316</v>
      </c>
      <c r="C4354" s="1" t="str">
        <f>IFERROR(__xludf.DUMMYFUNCTION("""COMPUTED_VALUE"""),"treatment")</f>
        <v>treatment</v>
      </c>
      <c r="D4354" s="1" t="str">
        <f>IFERROR(__xludf.DUMMYFUNCTION("""COMPUTED_VALUE"""),"new_page")</f>
        <v>new_page</v>
      </c>
      <c r="E4354" s="1">
        <f>IFERROR(__xludf.DUMMYFUNCTION("""COMPUTED_VALUE"""),0.0)</f>
        <v>0</v>
      </c>
    </row>
    <row r="4355">
      <c r="A4355" s="1">
        <f>IFERROR(__xludf.DUMMYFUNCTION("""COMPUTED_VALUE"""),732701.0)</f>
        <v>732701</v>
      </c>
      <c r="B4355" s="2">
        <f>IFERROR(__xludf.DUMMYFUNCTION("""COMPUTED_VALUE"""),42756.03948079518)</f>
        <v>42756.03948</v>
      </c>
      <c r="C4355" s="1" t="str">
        <f>IFERROR(__xludf.DUMMYFUNCTION("""COMPUTED_VALUE"""),"treatment")</f>
        <v>treatment</v>
      </c>
      <c r="D4355" s="1" t="str">
        <f>IFERROR(__xludf.DUMMYFUNCTION("""COMPUTED_VALUE"""),"new_page")</f>
        <v>new_page</v>
      </c>
      <c r="E4355" s="1">
        <f>IFERROR(__xludf.DUMMYFUNCTION("""COMPUTED_VALUE"""),0.0)</f>
        <v>0</v>
      </c>
    </row>
    <row r="4356">
      <c r="A4356" s="1">
        <f>IFERROR(__xludf.DUMMYFUNCTION("""COMPUTED_VALUE"""),792270.0)</f>
        <v>792270</v>
      </c>
      <c r="B4356" s="2">
        <f>IFERROR(__xludf.DUMMYFUNCTION("""COMPUTED_VALUE"""),42759.08060661681)</f>
        <v>42759.08061</v>
      </c>
      <c r="C4356" s="1" t="str">
        <f>IFERROR(__xludf.DUMMYFUNCTION("""COMPUTED_VALUE"""),"treatment")</f>
        <v>treatment</v>
      </c>
      <c r="D4356" s="1" t="str">
        <f>IFERROR(__xludf.DUMMYFUNCTION("""COMPUTED_VALUE"""),"new_page")</f>
        <v>new_page</v>
      </c>
      <c r="E4356" s="1">
        <f>IFERROR(__xludf.DUMMYFUNCTION("""COMPUTED_VALUE"""),0.0)</f>
        <v>0</v>
      </c>
    </row>
    <row r="4357">
      <c r="A4357" s="1">
        <f>IFERROR(__xludf.DUMMYFUNCTION("""COMPUTED_VALUE"""),767366.0)</f>
        <v>767366</v>
      </c>
      <c r="B4357" s="2">
        <f>IFERROR(__xludf.DUMMYFUNCTION("""COMPUTED_VALUE"""),42754.1101270825)</f>
        <v>42754.11013</v>
      </c>
      <c r="C4357" s="1" t="str">
        <f>IFERROR(__xludf.DUMMYFUNCTION("""COMPUTED_VALUE"""),"control")</f>
        <v>control</v>
      </c>
      <c r="D4357" s="1" t="str">
        <f>IFERROR(__xludf.DUMMYFUNCTION("""COMPUTED_VALUE"""),"old_page")</f>
        <v>old_page</v>
      </c>
      <c r="E4357" s="1">
        <f>IFERROR(__xludf.DUMMYFUNCTION("""COMPUTED_VALUE"""),0.0)</f>
        <v>0</v>
      </c>
    </row>
    <row r="4358">
      <c r="A4358" s="1">
        <f>IFERROR(__xludf.DUMMYFUNCTION("""COMPUTED_VALUE"""),835970.0)</f>
        <v>835970</v>
      </c>
      <c r="B4358" s="2">
        <f>IFERROR(__xludf.DUMMYFUNCTION("""COMPUTED_VALUE"""),42737.95136375153)</f>
        <v>42737.95136</v>
      </c>
      <c r="C4358" s="1" t="str">
        <f>IFERROR(__xludf.DUMMYFUNCTION("""COMPUTED_VALUE"""),"treatment")</f>
        <v>treatment</v>
      </c>
      <c r="D4358" s="1" t="str">
        <f>IFERROR(__xludf.DUMMYFUNCTION("""COMPUTED_VALUE"""),"new_page")</f>
        <v>new_page</v>
      </c>
      <c r="E4358" s="1">
        <f>IFERROR(__xludf.DUMMYFUNCTION("""COMPUTED_VALUE"""),0.0)</f>
        <v>0</v>
      </c>
    </row>
    <row r="4359">
      <c r="A4359" s="1">
        <f>IFERROR(__xludf.DUMMYFUNCTION("""COMPUTED_VALUE"""),768903.0)</f>
        <v>768903</v>
      </c>
      <c r="B4359" s="2">
        <f>IFERROR(__xludf.DUMMYFUNCTION("""COMPUTED_VALUE"""),42754.70829911528)</f>
        <v>42754.7083</v>
      </c>
      <c r="C4359" s="1" t="str">
        <f>IFERROR(__xludf.DUMMYFUNCTION("""COMPUTED_VALUE"""),"treatment")</f>
        <v>treatment</v>
      </c>
      <c r="D4359" s="1" t="str">
        <f>IFERROR(__xludf.DUMMYFUNCTION("""COMPUTED_VALUE"""),"new_page")</f>
        <v>new_page</v>
      </c>
      <c r="E4359" s="1">
        <f>IFERROR(__xludf.DUMMYFUNCTION("""COMPUTED_VALUE"""),0.0)</f>
        <v>0</v>
      </c>
    </row>
    <row r="4360">
      <c r="A4360" s="1">
        <f>IFERROR(__xludf.DUMMYFUNCTION("""COMPUTED_VALUE"""),799929.0)</f>
        <v>799929</v>
      </c>
      <c r="B4360" s="2">
        <f>IFERROR(__xludf.DUMMYFUNCTION("""COMPUTED_VALUE"""),42748.113687100056)</f>
        <v>42748.11369</v>
      </c>
      <c r="C4360" s="1" t="str">
        <f>IFERROR(__xludf.DUMMYFUNCTION("""COMPUTED_VALUE"""),"treatment")</f>
        <v>treatment</v>
      </c>
      <c r="D4360" s="1" t="str">
        <f>IFERROR(__xludf.DUMMYFUNCTION("""COMPUTED_VALUE"""),"new_page")</f>
        <v>new_page</v>
      </c>
      <c r="E4360" s="1">
        <f>IFERROR(__xludf.DUMMYFUNCTION("""COMPUTED_VALUE"""),0.0)</f>
        <v>0</v>
      </c>
    </row>
    <row r="4361">
      <c r="A4361" s="1">
        <f>IFERROR(__xludf.DUMMYFUNCTION("""COMPUTED_VALUE"""),796571.0)</f>
        <v>796571</v>
      </c>
      <c r="B4361" s="2">
        <f>IFERROR(__xludf.DUMMYFUNCTION("""COMPUTED_VALUE"""),42739.624228252185)</f>
        <v>42739.62423</v>
      </c>
      <c r="C4361" s="1" t="str">
        <f>IFERROR(__xludf.DUMMYFUNCTION("""COMPUTED_VALUE"""),"treatment")</f>
        <v>treatment</v>
      </c>
      <c r="D4361" s="1" t="str">
        <f>IFERROR(__xludf.DUMMYFUNCTION("""COMPUTED_VALUE"""),"new_page")</f>
        <v>new_page</v>
      </c>
      <c r="E4361" s="1">
        <f>IFERROR(__xludf.DUMMYFUNCTION("""COMPUTED_VALUE"""),0.0)</f>
        <v>0</v>
      </c>
    </row>
    <row r="4362">
      <c r="A4362" s="1">
        <f>IFERROR(__xludf.DUMMYFUNCTION("""COMPUTED_VALUE"""),936714.0)</f>
        <v>936714</v>
      </c>
      <c r="B4362" s="2">
        <f>IFERROR(__xludf.DUMMYFUNCTION("""COMPUTED_VALUE"""),42739.54986049978)</f>
        <v>42739.54986</v>
      </c>
      <c r="C4362" s="1" t="str">
        <f>IFERROR(__xludf.DUMMYFUNCTION("""COMPUTED_VALUE"""),"control")</f>
        <v>control</v>
      </c>
      <c r="D4362" s="1" t="str">
        <f>IFERROR(__xludf.DUMMYFUNCTION("""COMPUTED_VALUE"""),"old_page")</f>
        <v>old_page</v>
      </c>
      <c r="E4362" s="1">
        <f>IFERROR(__xludf.DUMMYFUNCTION("""COMPUTED_VALUE"""),0.0)</f>
        <v>0</v>
      </c>
    </row>
    <row r="4363">
      <c r="A4363" s="1">
        <f>IFERROR(__xludf.DUMMYFUNCTION("""COMPUTED_VALUE"""),871242.0)</f>
        <v>871242</v>
      </c>
      <c r="B4363" s="2">
        <f>IFERROR(__xludf.DUMMYFUNCTION("""COMPUTED_VALUE"""),42759.35568665241)</f>
        <v>42759.35569</v>
      </c>
      <c r="C4363" s="1" t="str">
        <f>IFERROR(__xludf.DUMMYFUNCTION("""COMPUTED_VALUE"""),"treatment")</f>
        <v>treatment</v>
      </c>
      <c r="D4363" s="1" t="str">
        <f>IFERROR(__xludf.DUMMYFUNCTION("""COMPUTED_VALUE"""),"new_page")</f>
        <v>new_page</v>
      </c>
      <c r="E4363" s="1">
        <f>IFERROR(__xludf.DUMMYFUNCTION("""COMPUTED_VALUE"""),0.0)</f>
        <v>0</v>
      </c>
    </row>
    <row r="4364">
      <c r="A4364" s="1">
        <f>IFERROR(__xludf.DUMMYFUNCTION("""COMPUTED_VALUE"""),666349.0)</f>
        <v>666349</v>
      </c>
      <c r="B4364" s="2">
        <f>IFERROR(__xludf.DUMMYFUNCTION("""COMPUTED_VALUE"""),42745.62865492373)</f>
        <v>42745.62865</v>
      </c>
      <c r="C4364" s="1" t="str">
        <f>IFERROR(__xludf.DUMMYFUNCTION("""COMPUTED_VALUE"""),"control")</f>
        <v>control</v>
      </c>
      <c r="D4364" s="1" t="str">
        <f>IFERROR(__xludf.DUMMYFUNCTION("""COMPUTED_VALUE"""),"old_page")</f>
        <v>old_page</v>
      </c>
      <c r="E4364" s="1">
        <f>IFERROR(__xludf.DUMMYFUNCTION("""COMPUTED_VALUE"""),0.0)</f>
        <v>0</v>
      </c>
    </row>
    <row r="4365">
      <c r="A4365" s="1">
        <f>IFERROR(__xludf.DUMMYFUNCTION("""COMPUTED_VALUE"""),760841.0)</f>
        <v>760841</v>
      </c>
      <c r="B4365" s="2">
        <f>IFERROR(__xludf.DUMMYFUNCTION("""COMPUTED_VALUE"""),42743.39138395712)</f>
        <v>42743.39138</v>
      </c>
      <c r="C4365" s="1" t="str">
        <f>IFERROR(__xludf.DUMMYFUNCTION("""COMPUTED_VALUE"""),"treatment")</f>
        <v>treatment</v>
      </c>
      <c r="D4365" s="1" t="str">
        <f>IFERROR(__xludf.DUMMYFUNCTION("""COMPUTED_VALUE"""),"new_page")</f>
        <v>new_page</v>
      </c>
      <c r="E4365" s="1">
        <f>IFERROR(__xludf.DUMMYFUNCTION("""COMPUTED_VALUE"""),0.0)</f>
        <v>0</v>
      </c>
    </row>
    <row r="4366">
      <c r="A4366" s="1">
        <f>IFERROR(__xludf.DUMMYFUNCTION("""COMPUTED_VALUE"""),689586.0)</f>
        <v>689586</v>
      </c>
      <c r="B4366" s="2">
        <f>IFERROR(__xludf.DUMMYFUNCTION("""COMPUTED_VALUE"""),42753.43475120089)</f>
        <v>42753.43475</v>
      </c>
      <c r="C4366" s="1" t="str">
        <f>IFERROR(__xludf.DUMMYFUNCTION("""COMPUTED_VALUE"""),"control")</f>
        <v>control</v>
      </c>
      <c r="D4366" s="1" t="str">
        <f>IFERROR(__xludf.DUMMYFUNCTION("""COMPUTED_VALUE"""),"old_page")</f>
        <v>old_page</v>
      </c>
      <c r="E4366" s="1">
        <f>IFERROR(__xludf.DUMMYFUNCTION("""COMPUTED_VALUE"""),0.0)</f>
        <v>0</v>
      </c>
    </row>
    <row r="4367">
      <c r="A4367" s="1">
        <f>IFERROR(__xludf.DUMMYFUNCTION("""COMPUTED_VALUE"""),920545.0)</f>
        <v>920545</v>
      </c>
      <c r="B4367" s="2">
        <f>IFERROR(__xludf.DUMMYFUNCTION("""COMPUTED_VALUE"""),42743.191331005975)</f>
        <v>42743.19133</v>
      </c>
      <c r="C4367" s="1" t="str">
        <f>IFERROR(__xludf.DUMMYFUNCTION("""COMPUTED_VALUE"""),"control")</f>
        <v>control</v>
      </c>
      <c r="D4367" s="1" t="str">
        <f>IFERROR(__xludf.DUMMYFUNCTION("""COMPUTED_VALUE"""),"old_page")</f>
        <v>old_page</v>
      </c>
      <c r="E4367" s="1">
        <f>IFERROR(__xludf.DUMMYFUNCTION("""COMPUTED_VALUE"""),0.0)</f>
        <v>0</v>
      </c>
    </row>
    <row r="4368">
      <c r="A4368" s="1">
        <f>IFERROR(__xludf.DUMMYFUNCTION("""COMPUTED_VALUE"""),762464.0)</f>
        <v>762464</v>
      </c>
      <c r="B4368" s="2">
        <f>IFERROR(__xludf.DUMMYFUNCTION("""COMPUTED_VALUE"""),42745.68506677644)</f>
        <v>42745.68507</v>
      </c>
      <c r="C4368" s="1" t="str">
        <f>IFERROR(__xludf.DUMMYFUNCTION("""COMPUTED_VALUE"""),"control")</f>
        <v>control</v>
      </c>
      <c r="D4368" s="1" t="str">
        <f>IFERROR(__xludf.DUMMYFUNCTION("""COMPUTED_VALUE"""),"old_page")</f>
        <v>old_page</v>
      </c>
      <c r="E4368" s="1">
        <f>IFERROR(__xludf.DUMMYFUNCTION("""COMPUTED_VALUE"""),0.0)</f>
        <v>0</v>
      </c>
    </row>
    <row r="4369">
      <c r="A4369" s="1">
        <f>IFERROR(__xludf.DUMMYFUNCTION("""COMPUTED_VALUE"""),788358.0)</f>
        <v>788358</v>
      </c>
      <c r="B4369" s="2">
        <f>IFERROR(__xludf.DUMMYFUNCTION("""COMPUTED_VALUE"""),42738.015893208845)</f>
        <v>42738.01589</v>
      </c>
      <c r="C4369" s="1" t="str">
        <f>IFERROR(__xludf.DUMMYFUNCTION("""COMPUTED_VALUE"""),"control")</f>
        <v>control</v>
      </c>
      <c r="D4369" s="1" t="str">
        <f>IFERROR(__xludf.DUMMYFUNCTION("""COMPUTED_VALUE"""),"old_page")</f>
        <v>old_page</v>
      </c>
      <c r="E4369" s="1">
        <f>IFERROR(__xludf.DUMMYFUNCTION("""COMPUTED_VALUE"""),1.0)</f>
        <v>1</v>
      </c>
    </row>
    <row r="4370">
      <c r="A4370" s="1">
        <f>IFERROR(__xludf.DUMMYFUNCTION("""COMPUTED_VALUE"""),803138.0)</f>
        <v>803138</v>
      </c>
      <c r="B4370" s="2">
        <f>IFERROR(__xludf.DUMMYFUNCTION("""COMPUTED_VALUE"""),42759.201149096756)</f>
        <v>42759.20115</v>
      </c>
      <c r="C4370" s="1" t="str">
        <f>IFERROR(__xludf.DUMMYFUNCTION("""COMPUTED_VALUE"""),"control")</f>
        <v>control</v>
      </c>
      <c r="D4370" s="1" t="str">
        <f>IFERROR(__xludf.DUMMYFUNCTION("""COMPUTED_VALUE"""),"old_page")</f>
        <v>old_page</v>
      </c>
      <c r="E4370" s="1">
        <f>IFERROR(__xludf.DUMMYFUNCTION("""COMPUTED_VALUE"""),1.0)</f>
        <v>1</v>
      </c>
    </row>
    <row r="4371">
      <c r="A4371" s="1">
        <f>IFERROR(__xludf.DUMMYFUNCTION("""COMPUTED_VALUE"""),714956.0)</f>
        <v>714956</v>
      </c>
      <c r="B4371" s="2">
        <f>IFERROR(__xludf.DUMMYFUNCTION("""COMPUTED_VALUE"""),42756.670597225704)</f>
        <v>42756.6706</v>
      </c>
      <c r="C4371" s="1" t="str">
        <f>IFERROR(__xludf.DUMMYFUNCTION("""COMPUTED_VALUE"""),"control")</f>
        <v>control</v>
      </c>
      <c r="D4371" s="1" t="str">
        <f>IFERROR(__xludf.DUMMYFUNCTION("""COMPUTED_VALUE"""),"old_page")</f>
        <v>old_page</v>
      </c>
      <c r="E4371" s="1">
        <f>IFERROR(__xludf.DUMMYFUNCTION("""COMPUTED_VALUE"""),0.0)</f>
        <v>0</v>
      </c>
    </row>
    <row r="4372">
      <c r="A4372" s="1">
        <f>IFERROR(__xludf.DUMMYFUNCTION("""COMPUTED_VALUE"""),936486.0)</f>
        <v>936486</v>
      </c>
      <c r="B4372" s="2">
        <f>IFERROR(__xludf.DUMMYFUNCTION("""COMPUTED_VALUE"""),42738.833737934154)</f>
        <v>42738.83374</v>
      </c>
      <c r="C4372" s="1" t="str">
        <f>IFERROR(__xludf.DUMMYFUNCTION("""COMPUTED_VALUE"""),"treatment")</f>
        <v>treatment</v>
      </c>
      <c r="D4372" s="1" t="str">
        <f>IFERROR(__xludf.DUMMYFUNCTION("""COMPUTED_VALUE"""),"new_page")</f>
        <v>new_page</v>
      </c>
      <c r="E4372" s="1">
        <f>IFERROR(__xludf.DUMMYFUNCTION("""COMPUTED_VALUE"""),0.0)</f>
        <v>0</v>
      </c>
    </row>
    <row r="4373">
      <c r="A4373" s="1">
        <f>IFERROR(__xludf.DUMMYFUNCTION("""COMPUTED_VALUE"""),742403.0)</f>
        <v>742403</v>
      </c>
      <c r="B4373" s="2">
        <f>IFERROR(__xludf.DUMMYFUNCTION("""COMPUTED_VALUE"""),42751.51280070557)</f>
        <v>42751.5128</v>
      </c>
      <c r="C4373" s="1" t="str">
        <f>IFERROR(__xludf.DUMMYFUNCTION("""COMPUTED_VALUE"""),"control")</f>
        <v>control</v>
      </c>
      <c r="D4373" s="1" t="str">
        <f>IFERROR(__xludf.DUMMYFUNCTION("""COMPUTED_VALUE"""),"old_page")</f>
        <v>old_page</v>
      </c>
      <c r="E4373" s="1">
        <f>IFERROR(__xludf.DUMMYFUNCTION("""COMPUTED_VALUE"""),0.0)</f>
        <v>0</v>
      </c>
    </row>
    <row r="4374">
      <c r="A4374" s="1">
        <f>IFERROR(__xludf.DUMMYFUNCTION("""COMPUTED_VALUE"""),761122.0)</f>
        <v>761122</v>
      </c>
      <c r="B4374" s="2">
        <f>IFERROR(__xludf.DUMMYFUNCTION("""COMPUTED_VALUE"""),42757.82509877921)</f>
        <v>42757.8251</v>
      </c>
      <c r="C4374" s="1" t="str">
        <f>IFERROR(__xludf.DUMMYFUNCTION("""COMPUTED_VALUE"""),"treatment")</f>
        <v>treatment</v>
      </c>
      <c r="D4374" s="1" t="str">
        <f>IFERROR(__xludf.DUMMYFUNCTION("""COMPUTED_VALUE"""),"new_page")</f>
        <v>new_page</v>
      </c>
      <c r="E4374" s="1">
        <f>IFERROR(__xludf.DUMMYFUNCTION("""COMPUTED_VALUE"""),0.0)</f>
        <v>0</v>
      </c>
    </row>
    <row r="4375">
      <c r="A4375" s="1">
        <f>IFERROR(__xludf.DUMMYFUNCTION("""COMPUTED_VALUE"""),666510.0)</f>
        <v>666510</v>
      </c>
      <c r="B4375" s="2">
        <f>IFERROR(__xludf.DUMMYFUNCTION("""COMPUTED_VALUE"""),42746.44993644579)</f>
        <v>42746.44994</v>
      </c>
      <c r="C4375" s="1" t="str">
        <f>IFERROR(__xludf.DUMMYFUNCTION("""COMPUTED_VALUE"""),"control")</f>
        <v>control</v>
      </c>
      <c r="D4375" s="1" t="str">
        <f>IFERROR(__xludf.DUMMYFUNCTION("""COMPUTED_VALUE"""),"old_page")</f>
        <v>old_page</v>
      </c>
      <c r="E4375" s="1">
        <f>IFERROR(__xludf.DUMMYFUNCTION("""COMPUTED_VALUE"""),0.0)</f>
        <v>0</v>
      </c>
    </row>
    <row r="4376">
      <c r="A4376" s="1">
        <f>IFERROR(__xludf.DUMMYFUNCTION("""COMPUTED_VALUE"""),684759.0)</f>
        <v>684759</v>
      </c>
      <c r="B4376" s="2">
        <f>IFERROR(__xludf.DUMMYFUNCTION("""COMPUTED_VALUE"""),42743.23255430548)</f>
        <v>42743.23255</v>
      </c>
      <c r="C4376" s="1" t="str">
        <f>IFERROR(__xludf.DUMMYFUNCTION("""COMPUTED_VALUE"""),"treatment")</f>
        <v>treatment</v>
      </c>
      <c r="D4376" s="1" t="str">
        <f>IFERROR(__xludf.DUMMYFUNCTION("""COMPUTED_VALUE"""),"new_page")</f>
        <v>new_page</v>
      </c>
      <c r="E4376" s="1">
        <f>IFERROR(__xludf.DUMMYFUNCTION("""COMPUTED_VALUE"""),1.0)</f>
        <v>1</v>
      </c>
    </row>
    <row r="4377">
      <c r="A4377" s="1">
        <f>IFERROR(__xludf.DUMMYFUNCTION("""COMPUTED_VALUE"""),773915.0)</f>
        <v>773915</v>
      </c>
      <c r="B4377" s="2">
        <f>IFERROR(__xludf.DUMMYFUNCTION("""COMPUTED_VALUE"""),42758.56714630028)</f>
        <v>42758.56715</v>
      </c>
      <c r="C4377" s="1" t="str">
        <f>IFERROR(__xludf.DUMMYFUNCTION("""COMPUTED_VALUE"""),"treatment")</f>
        <v>treatment</v>
      </c>
      <c r="D4377" s="1" t="str">
        <f>IFERROR(__xludf.DUMMYFUNCTION("""COMPUTED_VALUE"""),"new_page")</f>
        <v>new_page</v>
      </c>
      <c r="E4377" s="1">
        <f>IFERROR(__xludf.DUMMYFUNCTION("""COMPUTED_VALUE"""),0.0)</f>
        <v>0</v>
      </c>
    </row>
    <row r="4378">
      <c r="A4378" s="1">
        <f>IFERROR(__xludf.DUMMYFUNCTION("""COMPUTED_VALUE"""),858147.0)</f>
        <v>858147</v>
      </c>
      <c r="B4378" s="2">
        <f>IFERROR(__xludf.DUMMYFUNCTION("""COMPUTED_VALUE"""),42758.35147654461)</f>
        <v>42758.35148</v>
      </c>
      <c r="C4378" s="1" t="str">
        <f>IFERROR(__xludf.DUMMYFUNCTION("""COMPUTED_VALUE"""),"control")</f>
        <v>control</v>
      </c>
      <c r="D4378" s="1" t="str">
        <f>IFERROR(__xludf.DUMMYFUNCTION("""COMPUTED_VALUE"""),"old_page")</f>
        <v>old_page</v>
      </c>
      <c r="E4378" s="1">
        <f>IFERROR(__xludf.DUMMYFUNCTION("""COMPUTED_VALUE"""),0.0)</f>
        <v>0</v>
      </c>
    </row>
    <row r="4379">
      <c r="A4379" s="1">
        <f>IFERROR(__xludf.DUMMYFUNCTION("""COMPUTED_VALUE"""),892541.0)</f>
        <v>892541</v>
      </c>
      <c r="B4379" s="2">
        <f>IFERROR(__xludf.DUMMYFUNCTION("""COMPUTED_VALUE"""),42748.86752869942)</f>
        <v>42748.86753</v>
      </c>
      <c r="C4379" s="1" t="str">
        <f>IFERROR(__xludf.DUMMYFUNCTION("""COMPUTED_VALUE"""),"treatment")</f>
        <v>treatment</v>
      </c>
      <c r="D4379" s="1" t="str">
        <f>IFERROR(__xludf.DUMMYFUNCTION("""COMPUTED_VALUE"""),"new_page")</f>
        <v>new_page</v>
      </c>
      <c r="E4379" s="1">
        <f>IFERROR(__xludf.DUMMYFUNCTION("""COMPUTED_VALUE"""),0.0)</f>
        <v>0</v>
      </c>
    </row>
    <row r="4380">
      <c r="A4380" s="1">
        <f>IFERROR(__xludf.DUMMYFUNCTION("""COMPUTED_VALUE"""),679514.0)</f>
        <v>679514</v>
      </c>
      <c r="B4380" s="2">
        <f>IFERROR(__xludf.DUMMYFUNCTION("""COMPUTED_VALUE"""),42757.55005859145)</f>
        <v>42757.55006</v>
      </c>
      <c r="C4380" s="1" t="str">
        <f>IFERROR(__xludf.DUMMYFUNCTION("""COMPUTED_VALUE"""),"control")</f>
        <v>control</v>
      </c>
      <c r="D4380" s="1" t="str">
        <f>IFERROR(__xludf.DUMMYFUNCTION("""COMPUTED_VALUE"""),"old_page")</f>
        <v>old_page</v>
      </c>
      <c r="E4380" s="1">
        <f>IFERROR(__xludf.DUMMYFUNCTION("""COMPUTED_VALUE"""),0.0)</f>
        <v>0</v>
      </c>
    </row>
    <row r="4381">
      <c r="A4381" s="1">
        <f>IFERROR(__xludf.DUMMYFUNCTION("""COMPUTED_VALUE"""),846109.0)</f>
        <v>846109</v>
      </c>
      <c r="B4381" s="2">
        <f>IFERROR(__xludf.DUMMYFUNCTION("""COMPUTED_VALUE"""),42738.06584662769)</f>
        <v>42738.06585</v>
      </c>
      <c r="C4381" s="1" t="str">
        <f>IFERROR(__xludf.DUMMYFUNCTION("""COMPUTED_VALUE"""),"treatment")</f>
        <v>treatment</v>
      </c>
      <c r="D4381" s="1" t="str">
        <f>IFERROR(__xludf.DUMMYFUNCTION("""COMPUTED_VALUE"""),"new_page")</f>
        <v>new_page</v>
      </c>
      <c r="E4381" s="1">
        <f>IFERROR(__xludf.DUMMYFUNCTION("""COMPUTED_VALUE"""),0.0)</f>
        <v>0</v>
      </c>
    </row>
    <row r="4382">
      <c r="A4382" s="1">
        <f>IFERROR(__xludf.DUMMYFUNCTION("""COMPUTED_VALUE"""),943464.0)</f>
        <v>943464</v>
      </c>
      <c r="B4382" s="2">
        <f>IFERROR(__xludf.DUMMYFUNCTION("""COMPUTED_VALUE"""),42751.32394923609)</f>
        <v>42751.32395</v>
      </c>
      <c r="C4382" s="1" t="str">
        <f>IFERROR(__xludf.DUMMYFUNCTION("""COMPUTED_VALUE"""),"control")</f>
        <v>control</v>
      </c>
      <c r="D4382" s="1" t="str">
        <f>IFERROR(__xludf.DUMMYFUNCTION("""COMPUTED_VALUE"""),"old_page")</f>
        <v>old_page</v>
      </c>
      <c r="E4382" s="1">
        <f>IFERROR(__xludf.DUMMYFUNCTION("""COMPUTED_VALUE"""),0.0)</f>
        <v>0</v>
      </c>
    </row>
    <row r="4383">
      <c r="A4383" s="1">
        <f>IFERROR(__xludf.DUMMYFUNCTION("""COMPUTED_VALUE"""),941400.0)</f>
        <v>941400</v>
      </c>
      <c r="B4383" s="2">
        <f>IFERROR(__xludf.DUMMYFUNCTION("""COMPUTED_VALUE"""),42742.17391187723)</f>
        <v>42742.17391</v>
      </c>
      <c r="C4383" s="1" t="str">
        <f>IFERROR(__xludf.DUMMYFUNCTION("""COMPUTED_VALUE"""),"control")</f>
        <v>control</v>
      </c>
      <c r="D4383" s="1" t="str">
        <f>IFERROR(__xludf.DUMMYFUNCTION("""COMPUTED_VALUE"""),"old_page")</f>
        <v>old_page</v>
      </c>
      <c r="E4383" s="1">
        <f>IFERROR(__xludf.DUMMYFUNCTION("""COMPUTED_VALUE"""),0.0)</f>
        <v>0</v>
      </c>
    </row>
    <row r="4384">
      <c r="A4384" s="1">
        <f>IFERROR(__xludf.DUMMYFUNCTION("""COMPUTED_VALUE"""),837355.0)</f>
        <v>837355</v>
      </c>
      <c r="B4384" s="2">
        <f>IFERROR(__xludf.DUMMYFUNCTION("""COMPUTED_VALUE"""),42754.49283121228)</f>
        <v>42754.49283</v>
      </c>
      <c r="C4384" s="1" t="str">
        <f>IFERROR(__xludf.DUMMYFUNCTION("""COMPUTED_VALUE"""),"control")</f>
        <v>control</v>
      </c>
      <c r="D4384" s="1" t="str">
        <f>IFERROR(__xludf.DUMMYFUNCTION("""COMPUTED_VALUE"""),"old_page")</f>
        <v>old_page</v>
      </c>
      <c r="E4384" s="1">
        <f>IFERROR(__xludf.DUMMYFUNCTION("""COMPUTED_VALUE"""),0.0)</f>
        <v>0</v>
      </c>
    </row>
    <row r="4385">
      <c r="A4385" s="1">
        <f>IFERROR(__xludf.DUMMYFUNCTION("""COMPUTED_VALUE"""),872852.0)</f>
        <v>872852</v>
      </c>
      <c r="B4385" s="2">
        <f>IFERROR(__xludf.DUMMYFUNCTION("""COMPUTED_VALUE"""),42758.230599010014)</f>
        <v>42758.2306</v>
      </c>
      <c r="C4385" s="1" t="str">
        <f>IFERROR(__xludf.DUMMYFUNCTION("""COMPUTED_VALUE"""),"treatment")</f>
        <v>treatment</v>
      </c>
      <c r="D4385" s="1" t="str">
        <f>IFERROR(__xludf.DUMMYFUNCTION("""COMPUTED_VALUE"""),"new_page")</f>
        <v>new_page</v>
      </c>
      <c r="E4385" s="1">
        <f>IFERROR(__xludf.DUMMYFUNCTION("""COMPUTED_VALUE"""),0.0)</f>
        <v>0</v>
      </c>
    </row>
    <row r="4386">
      <c r="A4386" s="1">
        <f>IFERROR(__xludf.DUMMYFUNCTION("""COMPUTED_VALUE"""),941483.0)</f>
        <v>941483</v>
      </c>
      <c r="B4386" s="2">
        <f>IFERROR(__xludf.DUMMYFUNCTION("""COMPUTED_VALUE"""),42750.85644917459)</f>
        <v>42750.85645</v>
      </c>
      <c r="C4386" s="1" t="str">
        <f>IFERROR(__xludf.DUMMYFUNCTION("""COMPUTED_VALUE"""),"treatment")</f>
        <v>treatment</v>
      </c>
      <c r="D4386" s="1" t="str">
        <f>IFERROR(__xludf.DUMMYFUNCTION("""COMPUTED_VALUE"""),"new_page")</f>
        <v>new_page</v>
      </c>
      <c r="E4386" s="1">
        <f>IFERROR(__xludf.DUMMYFUNCTION("""COMPUTED_VALUE"""),0.0)</f>
        <v>0</v>
      </c>
    </row>
    <row r="4387">
      <c r="A4387" s="1">
        <f>IFERROR(__xludf.DUMMYFUNCTION("""COMPUTED_VALUE"""),880779.0)</f>
        <v>880779</v>
      </c>
      <c r="B4387" s="2">
        <f>IFERROR(__xludf.DUMMYFUNCTION("""COMPUTED_VALUE"""),42755.184191894456)</f>
        <v>42755.18419</v>
      </c>
      <c r="C4387" s="1" t="str">
        <f>IFERROR(__xludf.DUMMYFUNCTION("""COMPUTED_VALUE"""),"control")</f>
        <v>control</v>
      </c>
      <c r="D4387" s="1" t="str">
        <f>IFERROR(__xludf.DUMMYFUNCTION("""COMPUTED_VALUE"""),"old_page")</f>
        <v>old_page</v>
      </c>
      <c r="E4387" s="1">
        <f>IFERROR(__xludf.DUMMYFUNCTION("""COMPUTED_VALUE"""),0.0)</f>
        <v>0</v>
      </c>
    </row>
    <row r="4388">
      <c r="A4388" s="1">
        <f>IFERROR(__xludf.DUMMYFUNCTION("""COMPUTED_VALUE"""),672274.0)</f>
        <v>672274</v>
      </c>
      <c r="B4388" s="2">
        <f>IFERROR(__xludf.DUMMYFUNCTION("""COMPUTED_VALUE"""),42747.62323700202)</f>
        <v>42747.62324</v>
      </c>
      <c r="C4388" s="1" t="str">
        <f>IFERROR(__xludf.DUMMYFUNCTION("""COMPUTED_VALUE"""),"treatment")</f>
        <v>treatment</v>
      </c>
      <c r="D4388" s="1" t="str">
        <f>IFERROR(__xludf.DUMMYFUNCTION("""COMPUTED_VALUE"""),"new_page")</f>
        <v>new_page</v>
      </c>
      <c r="E4388" s="1">
        <f>IFERROR(__xludf.DUMMYFUNCTION("""COMPUTED_VALUE"""),0.0)</f>
        <v>0</v>
      </c>
    </row>
    <row r="4389">
      <c r="A4389" s="1">
        <f>IFERROR(__xludf.DUMMYFUNCTION("""COMPUTED_VALUE"""),692337.0)</f>
        <v>692337</v>
      </c>
      <c r="B4389" s="2">
        <f>IFERROR(__xludf.DUMMYFUNCTION("""COMPUTED_VALUE"""),42737.736164417096)</f>
        <v>42737.73616</v>
      </c>
      <c r="C4389" s="1" t="str">
        <f>IFERROR(__xludf.DUMMYFUNCTION("""COMPUTED_VALUE"""),"control")</f>
        <v>control</v>
      </c>
      <c r="D4389" s="1" t="str">
        <f>IFERROR(__xludf.DUMMYFUNCTION("""COMPUTED_VALUE"""),"old_page")</f>
        <v>old_page</v>
      </c>
      <c r="E4389" s="1">
        <f>IFERROR(__xludf.DUMMYFUNCTION("""COMPUTED_VALUE"""),0.0)</f>
        <v>0</v>
      </c>
    </row>
    <row r="4390">
      <c r="A4390" s="1">
        <f>IFERROR(__xludf.DUMMYFUNCTION("""COMPUTED_VALUE"""),722196.0)</f>
        <v>722196</v>
      </c>
      <c r="B4390" s="2">
        <f>IFERROR(__xludf.DUMMYFUNCTION("""COMPUTED_VALUE"""),42755.555642325926)</f>
        <v>42755.55564</v>
      </c>
      <c r="C4390" s="1" t="str">
        <f>IFERROR(__xludf.DUMMYFUNCTION("""COMPUTED_VALUE"""),"control")</f>
        <v>control</v>
      </c>
      <c r="D4390" s="1" t="str">
        <f>IFERROR(__xludf.DUMMYFUNCTION("""COMPUTED_VALUE"""),"old_page")</f>
        <v>old_page</v>
      </c>
      <c r="E4390" s="1">
        <f>IFERROR(__xludf.DUMMYFUNCTION("""COMPUTED_VALUE"""),0.0)</f>
        <v>0</v>
      </c>
    </row>
    <row r="4391">
      <c r="A4391" s="1">
        <f>IFERROR(__xludf.DUMMYFUNCTION("""COMPUTED_VALUE"""),667674.0)</f>
        <v>667674</v>
      </c>
      <c r="B4391" s="2">
        <f>IFERROR(__xludf.DUMMYFUNCTION("""COMPUTED_VALUE"""),42756.73353963848)</f>
        <v>42756.73354</v>
      </c>
      <c r="C4391" s="1" t="str">
        <f>IFERROR(__xludf.DUMMYFUNCTION("""COMPUTED_VALUE"""),"treatment")</f>
        <v>treatment</v>
      </c>
      <c r="D4391" s="1" t="str">
        <f>IFERROR(__xludf.DUMMYFUNCTION("""COMPUTED_VALUE"""),"new_page")</f>
        <v>new_page</v>
      </c>
      <c r="E4391" s="1">
        <f>IFERROR(__xludf.DUMMYFUNCTION("""COMPUTED_VALUE"""),0.0)</f>
        <v>0</v>
      </c>
    </row>
    <row r="4392">
      <c r="A4392" s="1">
        <f>IFERROR(__xludf.DUMMYFUNCTION("""COMPUTED_VALUE"""),735314.0)</f>
        <v>735314</v>
      </c>
      <c r="B4392" s="2">
        <f>IFERROR(__xludf.DUMMYFUNCTION("""COMPUTED_VALUE"""),42743.6740221424)</f>
        <v>42743.67402</v>
      </c>
      <c r="C4392" s="1" t="str">
        <f>IFERROR(__xludf.DUMMYFUNCTION("""COMPUTED_VALUE"""),"treatment")</f>
        <v>treatment</v>
      </c>
      <c r="D4392" s="1" t="str">
        <f>IFERROR(__xludf.DUMMYFUNCTION("""COMPUTED_VALUE"""),"new_page")</f>
        <v>new_page</v>
      </c>
      <c r="E4392" s="1">
        <f>IFERROR(__xludf.DUMMYFUNCTION("""COMPUTED_VALUE"""),0.0)</f>
        <v>0</v>
      </c>
    </row>
    <row r="4393">
      <c r="A4393" s="1">
        <f>IFERROR(__xludf.DUMMYFUNCTION("""COMPUTED_VALUE"""),855099.0)</f>
        <v>855099</v>
      </c>
      <c r="B4393" s="2">
        <f>IFERROR(__xludf.DUMMYFUNCTION("""COMPUTED_VALUE"""),42738.67371797839)</f>
        <v>42738.67372</v>
      </c>
      <c r="C4393" s="1" t="str">
        <f>IFERROR(__xludf.DUMMYFUNCTION("""COMPUTED_VALUE"""),"treatment")</f>
        <v>treatment</v>
      </c>
      <c r="D4393" s="1" t="str">
        <f>IFERROR(__xludf.DUMMYFUNCTION("""COMPUTED_VALUE"""),"new_page")</f>
        <v>new_page</v>
      </c>
      <c r="E4393" s="1">
        <f>IFERROR(__xludf.DUMMYFUNCTION("""COMPUTED_VALUE"""),0.0)</f>
        <v>0</v>
      </c>
    </row>
    <row r="4394">
      <c r="A4394" s="1">
        <f>IFERROR(__xludf.DUMMYFUNCTION("""COMPUTED_VALUE"""),706923.0)</f>
        <v>706923</v>
      </c>
      <c r="B4394" s="2">
        <f>IFERROR(__xludf.DUMMYFUNCTION("""COMPUTED_VALUE"""),42748.538033581906)</f>
        <v>42748.53803</v>
      </c>
      <c r="C4394" s="1" t="str">
        <f>IFERROR(__xludf.DUMMYFUNCTION("""COMPUTED_VALUE"""),"treatment")</f>
        <v>treatment</v>
      </c>
      <c r="D4394" s="1" t="str">
        <f>IFERROR(__xludf.DUMMYFUNCTION("""COMPUTED_VALUE"""),"new_page")</f>
        <v>new_page</v>
      </c>
      <c r="E4394" s="1">
        <f>IFERROR(__xludf.DUMMYFUNCTION("""COMPUTED_VALUE"""),0.0)</f>
        <v>0</v>
      </c>
    </row>
    <row r="4395">
      <c r="A4395" s="1">
        <f>IFERROR(__xludf.DUMMYFUNCTION("""COMPUTED_VALUE"""),772827.0)</f>
        <v>772827</v>
      </c>
      <c r="B4395" s="2">
        <f>IFERROR(__xludf.DUMMYFUNCTION("""COMPUTED_VALUE"""),42755.08801025602)</f>
        <v>42755.08801</v>
      </c>
      <c r="C4395" s="1" t="str">
        <f>IFERROR(__xludf.DUMMYFUNCTION("""COMPUTED_VALUE"""),"control")</f>
        <v>control</v>
      </c>
      <c r="D4395" s="1" t="str">
        <f>IFERROR(__xludf.DUMMYFUNCTION("""COMPUTED_VALUE"""),"old_page")</f>
        <v>old_page</v>
      </c>
      <c r="E4395" s="1">
        <f>IFERROR(__xludf.DUMMYFUNCTION("""COMPUTED_VALUE"""),1.0)</f>
        <v>1</v>
      </c>
    </row>
    <row r="4396">
      <c r="A4396" s="1">
        <f>IFERROR(__xludf.DUMMYFUNCTION("""COMPUTED_VALUE"""),729141.0)</f>
        <v>729141</v>
      </c>
      <c r="B4396" s="2">
        <f>IFERROR(__xludf.DUMMYFUNCTION("""COMPUTED_VALUE"""),42759.02894157788)</f>
        <v>42759.02894</v>
      </c>
      <c r="C4396" s="1" t="str">
        <f>IFERROR(__xludf.DUMMYFUNCTION("""COMPUTED_VALUE"""),"control")</f>
        <v>control</v>
      </c>
      <c r="D4396" s="1" t="str">
        <f>IFERROR(__xludf.DUMMYFUNCTION("""COMPUTED_VALUE"""),"old_page")</f>
        <v>old_page</v>
      </c>
      <c r="E4396" s="1">
        <f>IFERROR(__xludf.DUMMYFUNCTION("""COMPUTED_VALUE"""),0.0)</f>
        <v>0</v>
      </c>
    </row>
    <row r="4397">
      <c r="A4397" s="1">
        <f>IFERROR(__xludf.DUMMYFUNCTION("""COMPUTED_VALUE"""),888526.0)</f>
        <v>888526</v>
      </c>
      <c r="B4397" s="2">
        <f>IFERROR(__xludf.DUMMYFUNCTION("""COMPUTED_VALUE"""),42740.83209200007)</f>
        <v>42740.83209</v>
      </c>
      <c r="C4397" s="1" t="str">
        <f>IFERROR(__xludf.DUMMYFUNCTION("""COMPUTED_VALUE"""),"treatment")</f>
        <v>treatment</v>
      </c>
      <c r="D4397" s="1" t="str">
        <f>IFERROR(__xludf.DUMMYFUNCTION("""COMPUTED_VALUE"""),"new_page")</f>
        <v>new_page</v>
      </c>
      <c r="E4397" s="1">
        <f>IFERROR(__xludf.DUMMYFUNCTION("""COMPUTED_VALUE"""),0.0)</f>
        <v>0</v>
      </c>
    </row>
    <row r="4398">
      <c r="A4398" s="1">
        <f>IFERROR(__xludf.DUMMYFUNCTION("""COMPUTED_VALUE"""),750129.0)</f>
        <v>750129</v>
      </c>
      <c r="B4398" s="2">
        <f>IFERROR(__xludf.DUMMYFUNCTION("""COMPUTED_VALUE"""),42750.338509209534)</f>
        <v>42750.33851</v>
      </c>
      <c r="C4398" s="1" t="str">
        <f>IFERROR(__xludf.DUMMYFUNCTION("""COMPUTED_VALUE"""),"control")</f>
        <v>control</v>
      </c>
      <c r="D4398" s="1" t="str">
        <f>IFERROR(__xludf.DUMMYFUNCTION("""COMPUTED_VALUE"""),"old_page")</f>
        <v>old_page</v>
      </c>
      <c r="E4398" s="1">
        <f>IFERROR(__xludf.DUMMYFUNCTION("""COMPUTED_VALUE"""),0.0)</f>
        <v>0</v>
      </c>
    </row>
    <row r="4399">
      <c r="A4399" s="1">
        <f>IFERROR(__xludf.DUMMYFUNCTION("""COMPUTED_VALUE"""),883859.0)</f>
        <v>883859</v>
      </c>
      <c r="B4399" s="2">
        <f>IFERROR(__xludf.DUMMYFUNCTION("""COMPUTED_VALUE"""),42749.36016533362)</f>
        <v>42749.36017</v>
      </c>
      <c r="C4399" s="1" t="str">
        <f>IFERROR(__xludf.DUMMYFUNCTION("""COMPUTED_VALUE"""),"control")</f>
        <v>control</v>
      </c>
      <c r="D4399" s="1" t="str">
        <f>IFERROR(__xludf.DUMMYFUNCTION("""COMPUTED_VALUE"""),"old_page")</f>
        <v>old_page</v>
      </c>
      <c r="E4399" s="1">
        <f>IFERROR(__xludf.DUMMYFUNCTION("""COMPUTED_VALUE"""),0.0)</f>
        <v>0</v>
      </c>
    </row>
    <row r="4400">
      <c r="A4400" s="1">
        <f>IFERROR(__xludf.DUMMYFUNCTION("""COMPUTED_VALUE"""),769396.0)</f>
        <v>769396</v>
      </c>
      <c r="B4400" s="2">
        <f>IFERROR(__xludf.DUMMYFUNCTION("""COMPUTED_VALUE"""),42743.58356665927)</f>
        <v>42743.58357</v>
      </c>
      <c r="C4400" s="1" t="str">
        <f>IFERROR(__xludf.DUMMYFUNCTION("""COMPUTED_VALUE"""),"treatment")</f>
        <v>treatment</v>
      </c>
      <c r="D4400" s="1" t="str">
        <f>IFERROR(__xludf.DUMMYFUNCTION("""COMPUTED_VALUE"""),"new_page")</f>
        <v>new_page</v>
      </c>
      <c r="E4400" s="1">
        <f>IFERROR(__xludf.DUMMYFUNCTION("""COMPUTED_VALUE"""),0.0)</f>
        <v>0</v>
      </c>
    </row>
    <row r="4401">
      <c r="A4401" s="1">
        <f>IFERROR(__xludf.DUMMYFUNCTION("""COMPUTED_VALUE"""),938338.0)</f>
        <v>938338</v>
      </c>
      <c r="B4401" s="2">
        <f>IFERROR(__xludf.DUMMYFUNCTION("""COMPUTED_VALUE"""),42751.28172898165)</f>
        <v>42751.28173</v>
      </c>
      <c r="C4401" s="1" t="str">
        <f>IFERROR(__xludf.DUMMYFUNCTION("""COMPUTED_VALUE"""),"treatment")</f>
        <v>treatment</v>
      </c>
      <c r="D4401" s="1" t="str">
        <f>IFERROR(__xludf.DUMMYFUNCTION("""COMPUTED_VALUE"""),"new_page")</f>
        <v>new_page</v>
      </c>
      <c r="E4401" s="1">
        <f>IFERROR(__xludf.DUMMYFUNCTION("""COMPUTED_VALUE"""),0.0)</f>
        <v>0</v>
      </c>
    </row>
    <row r="4402">
      <c r="A4402" s="1">
        <f>IFERROR(__xludf.DUMMYFUNCTION("""COMPUTED_VALUE"""),916053.0)</f>
        <v>916053</v>
      </c>
      <c r="B4402" s="2">
        <f>IFERROR(__xludf.DUMMYFUNCTION("""COMPUTED_VALUE"""),42752.95228521511)</f>
        <v>42752.95229</v>
      </c>
      <c r="C4402" s="1" t="str">
        <f>IFERROR(__xludf.DUMMYFUNCTION("""COMPUTED_VALUE"""),"treatment")</f>
        <v>treatment</v>
      </c>
      <c r="D4402" s="1" t="str">
        <f>IFERROR(__xludf.DUMMYFUNCTION("""COMPUTED_VALUE"""),"new_page")</f>
        <v>new_page</v>
      </c>
      <c r="E4402" s="1">
        <f>IFERROR(__xludf.DUMMYFUNCTION("""COMPUTED_VALUE"""),0.0)</f>
        <v>0</v>
      </c>
    </row>
    <row r="4403">
      <c r="A4403" s="1">
        <f>IFERROR(__xludf.DUMMYFUNCTION("""COMPUTED_VALUE"""),797067.0)</f>
        <v>797067</v>
      </c>
      <c r="B4403" s="2">
        <f>IFERROR(__xludf.DUMMYFUNCTION("""COMPUTED_VALUE"""),42754.22530169103)</f>
        <v>42754.2253</v>
      </c>
      <c r="C4403" s="1" t="str">
        <f>IFERROR(__xludf.DUMMYFUNCTION("""COMPUTED_VALUE"""),"treatment")</f>
        <v>treatment</v>
      </c>
      <c r="D4403" s="1" t="str">
        <f>IFERROR(__xludf.DUMMYFUNCTION("""COMPUTED_VALUE"""),"new_page")</f>
        <v>new_page</v>
      </c>
      <c r="E4403" s="1">
        <f>IFERROR(__xludf.DUMMYFUNCTION("""COMPUTED_VALUE"""),0.0)</f>
        <v>0</v>
      </c>
    </row>
    <row r="4404">
      <c r="A4404" s="1">
        <f>IFERROR(__xludf.DUMMYFUNCTION("""COMPUTED_VALUE"""),759903.0)</f>
        <v>759903</v>
      </c>
      <c r="B4404" s="2">
        <f>IFERROR(__xludf.DUMMYFUNCTION("""COMPUTED_VALUE"""),42756.85630266257)</f>
        <v>42756.8563</v>
      </c>
      <c r="C4404" s="1" t="str">
        <f>IFERROR(__xludf.DUMMYFUNCTION("""COMPUTED_VALUE"""),"control")</f>
        <v>control</v>
      </c>
      <c r="D4404" s="1" t="str">
        <f>IFERROR(__xludf.DUMMYFUNCTION("""COMPUTED_VALUE"""),"old_page")</f>
        <v>old_page</v>
      </c>
      <c r="E4404" s="1">
        <f>IFERROR(__xludf.DUMMYFUNCTION("""COMPUTED_VALUE"""),0.0)</f>
        <v>0</v>
      </c>
    </row>
    <row r="4405">
      <c r="A4405" s="1">
        <f>IFERROR(__xludf.DUMMYFUNCTION("""COMPUTED_VALUE"""),648931.0)</f>
        <v>648931</v>
      </c>
      <c r="B4405" s="2">
        <f>IFERROR(__xludf.DUMMYFUNCTION("""COMPUTED_VALUE"""),42746.45265804699)</f>
        <v>42746.45266</v>
      </c>
      <c r="C4405" s="1" t="str">
        <f>IFERROR(__xludf.DUMMYFUNCTION("""COMPUTED_VALUE"""),"control")</f>
        <v>control</v>
      </c>
      <c r="D4405" s="1" t="str">
        <f>IFERROR(__xludf.DUMMYFUNCTION("""COMPUTED_VALUE"""),"old_page")</f>
        <v>old_page</v>
      </c>
      <c r="E4405" s="1">
        <f>IFERROR(__xludf.DUMMYFUNCTION("""COMPUTED_VALUE"""),0.0)</f>
        <v>0</v>
      </c>
    </row>
    <row r="4406">
      <c r="A4406" s="1">
        <f>IFERROR(__xludf.DUMMYFUNCTION("""COMPUTED_VALUE"""),706122.0)</f>
        <v>706122</v>
      </c>
      <c r="B4406" s="2">
        <f>IFERROR(__xludf.DUMMYFUNCTION("""COMPUTED_VALUE"""),42749.691363977225)</f>
        <v>42749.69136</v>
      </c>
      <c r="C4406" s="1" t="str">
        <f>IFERROR(__xludf.DUMMYFUNCTION("""COMPUTED_VALUE"""),"treatment")</f>
        <v>treatment</v>
      </c>
      <c r="D4406" s="1" t="str">
        <f>IFERROR(__xludf.DUMMYFUNCTION("""COMPUTED_VALUE"""),"new_page")</f>
        <v>new_page</v>
      </c>
      <c r="E4406" s="1">
        <f>IFERROR(__xludf.DUMMYFUNCTION("""COMPUTED_VALUE"""),0.0)</f>
        <v>0</v>
      </c>
    </row>
    <row r="4407">
      <c r="A4407" s="1">
        <f>IFERROR(__xludf.DUMMYFUNCTION("""COMPUTED_VALUE"""),760888.0)</f>
        <v>760888</v>
      </c>
      <c r="B4407" s="2">
        <f>IFERROR(__xludf.DUMMYFUNCTION("""COMPUTED_VALUE"""),42756.357231180475)</f>
        <v>42756.35723</v>
      </c>
      <c r="C4407" s="1" t="str">
        <f>IFERROR(__xludf.DUMMYFUNCTION("""COMPUTED_VALUE"""),"control")</f>
        <v>control</v>
      </c>
      <c r="D4407" s="1" t="str">
        <f>IFERROR(__xludf.DUMMYFUNCTION("""COMPUTED_VALUE"""),"old_page")</f>
        <v>old_page</v>
      </c>
      <c r="E4407" s="1">
        <f>IFERROR(__xludf.DUMMYFUNCTION("""COMPUTED_VALUE"""),0.0)</f>
        <v>0</v>
      </c>
    </row>
    <row r="4408">
      <c r="A4408" s="1">
        <f>IFERROR(__xludf.DUMMYFUNCTION("""COMPUTED_VALUE"""),828369.0)</f>
        <v>828369</v>
      </c>
      <c r="B4408" s="2">
        <f>IFERROR(__xludf.DUMMYFUNCTION("""COMPUTED_VALUE"""),42745.08376611823)</f>
        <v>42745.08377</v>
      </c>
      <c r="C4408" s="1" t="str">
        <f>IFERROR(__xludf.DUMMYFUNCTION("""COMPUTED_VALUE"""),"control")</f>
        <v>control</v>
      </c>
      <c r="D4408" s="1" t="str">
        <f>IFERROR(__xludf.DUMMYFUNCTION("""COMPUTED_VALUE"""),"old_page")</f>
        <v>old_page</v>
      </c>
      <c r="E4408" s="1">
        <f>IFERROR(__xludf.DUMMYFUNCTION("""COMPUTED_VALUE"""),0.0)</f>
        <v>0</v>
      </c>
    </row>
    <row r="4409">
      <c r="A4409" s="1">
        <f>IFERROR(__xludf.DUMMYFUNCTION("""COMPUTED_VALUE"""),818989.0)</f>
        <v>818989</v>
      </c>
      <c r="B4409" s="2">
        <f>IFERROR(__xludf.DUMMYFUNCTION("""COMPUTED_VALUE"""),42757.16141990559)</f>
        <v>42757.16142</v>
      </c>
      <c r="C4409" s="1" t="str">
        <f>IFERROR(__xludf.DUMMYFUNCTION("""COMPUTED_VALUE"""),"treatment")</f>
        <v>treatment</v>
      </c>
      <c r="D4409" s="1" t="str">
        <f>IFERROR(__xludf.DUMMYFUNCTION("""COMPUTED_VALUE"""),"new_page")</f>
        <v>new_page</v>
      </c>
      <c r="E4409" s="1">
        <f>IFERROR(__xludf.DUMMYFUNCTION("""COMPUTED_VALUE"""),0.0)</f>
        <v>0</v>
      </c>
    </row>
    <row r="4410">
      <c r="A4410" s="1">
        <f>IFERROR(__xludf.DUMMYFUNCTION("""COMPUTED_VALUE"""),670569.0)</f>
        <v>670569</v>
      </c>
      <c r="B4410" s="2">
        <f>IFERROR(__xludf.DUMMYFUNCTION("""COMPUTED_VALUE"""),42749.89758007198)</f>
        <v>42749.89758</v>
      </c>
      <c r="C4410" s="1" t="str">
        <f>IFERROR(__xludf.DUMMYFUNCTION("""COMPUTED_VALUE"""),"control")</f>
        <v>control</v>
      </c>
      <c r="D4410" s="1" t="str">
        <f>IFERROR(__xludf.DUMMYFUNCTION("""COMPUTED_VALUE"""),"old_page")</f>
        <v>old_page</v>
      </c>
      <c r="E4410" s="1">
        <f>IFERROR(__xludf.DUMMYFUNCTION("""COMPUTED_VALUE"""),0.0)</f>
        <v>0</v>
      </c>
    </row>
    <row r="4411">
      <c r="A4411" s="1">
        <f>IFERROR(__xludf.DUMMYFUNCTION("""COMPUTED_VALUE"""),873918.0)</f>
        <v>873918</v>
      </c>
      <c r="B4411" s="2">
        <f>IFERROR(__xludf.DUMMYFUNCTION("""COMPUTED_VALUE"""),42741.161670583206)</f>
        <v>42741.16167</v>
      </c>
      <c r="C4411" s="1" t="str">
        <f>IFERROR(__xludf.DUMMYFUNCTION("""COMPUTED_VALUE"""),"treatment")</f>
        <v>treatment</v>
      </c>
      <c r="D4411" s="1" t="str">
        <f>IFERROR(__xludf.DUMMYFUNCTION("""COMPUTED_VALUE"""),"new_page")</f>
        <v>new_page</v>
      </c>
      <c r="E4411" s="1">
        <f>IFERROR(__xludf.DUMMYFUNCTION("""COMPUTED_VALUE"""),0.0)</f>
        <v>0</v>
      </c>
    </row>
    <row r="4412">
      <c r="A4412" s="1">
        <f>IFERROR(__xludf.DUMMYFUNCTION("""COMPUTED_VALUE"""),723387.0)</f>
        <v>723387</v>
      </c>
      <c r="B4412" s="2">
        <f>IFERROR(__xludf.DUMMYFUNCTION("""COMPUTED_VALUE"""),42738.689457325316)</f>
        <v>42738.68946</v>
      </c>
      <c r="C4412" s="1" t="str">
        <f>IFERROR(__xludf.DUMMYFUNCTION("""COMPUTED_VALUE"""),"treatment")</f>
        <v>treatment</v>
      </c>
      <c r="D4412" s="1" t="str">
        <f>IFERROR(__xludf.DUMMYFUNCTION("""COMPUTED_VALUE"""),"new_page")</f>
        <v>new_page</v>
      </c>
      <c r="E4412" s="1">
        <f>IFERROR(__xludf.DUMMYFUNCTION("""COMPUTED_VALUE"""),0.0)</f>
        <v>0</v>
      </c>
    </row>
    <row r="4413">
      <c r="A4413" s="1">
        <f>IFERROR(__xludf.DUMMYFUNCTION("""COMPUTED_VALUE"""),654264.0)</f>
        <v>654264</v>
      </c>
      <c r="B4413" s="2">
        <f>IFERROR(__xludf.DUMMYFUNCTION("""COMPUTED_VALUE"""),42756.02971563103)</f>
        <v>42756.02972</v>
      </c>
      <c r="C4413" s="1" t="str">
        <f>IFERROR(__xludf.DUMMYFUNCTION("""COMPUTED_VALUE"""),"treatment")</f>
        <v>treatment</v>
      </c>
      <c r="D4413" s="1" t="str">
        <f>IFERROR(__xludf.DUMMYFUNCTION("""COMPUTED_VALUE"""),"new_page")</f>
        <v>new_page</v>
      </c>
      <c r="E4413" s="1">
        <f>IFERROR(__xludf.DUMMYFUNCTION("""COMPUTED_VALUE"""),0.0)</f>
        <v>0</v>
      </c>
    </row>
    <row r="4414">
      <c r="A4414" s="1">
        <f>IFERROR(__xludf.DUMMYFUNCTION("""COMPUTED_VALUE"""),885143.0)</f>
        <v>885143</v>
      </c>
      <c r="B4414" s="2">
        <f>IFERROR(__xludf.DUMMYFUNCTION("""COMPUTED_VALUE"""),42741.44688884028)</f>
        <v>42741.44689</v>
      </c>
      <c r="C4414" s="1" t="str">
        <f>IFERROR(__xludf.DUMMYFUNCTION("""COMPUTED_VALUE"""),"treatment")</f>
        <v>treatment</v>
      </c>
      <c r="D4414" s="1" t="str">
        <f>IFERROR(__xludf.DUMMYFUNCTION("""COMPUTED_VALUE"""),"new_page")</f>
        <v>new_page</v>
      </c>
      <c r="E4414" s="1">
        <f>IFERROR(__xludf.DUMMYFUNCTION("""COMPUTED_VALUE"""),0.0)</f>
        <v>0</v>
      </c>
    </row>
    <row r="4415">
      <c r="A4415" s="1">
        <f>IFERROR(__xludf.DUMMYFUNCTION("""COMPUTED_VALUE"""),779771.0)</f>
        <v>779771</v>
      </c>
      <c r="B4415" s="2">
        <f>IFERROR(__xludf.DUMMYFUNCTION("""COMPUTED_VALUE"""),42743.252286245835)</f>
        <v>42743.25229</v>
      </c>
      <c r="C4415" s="1" t="str">
        <f>IFERROR(__xludf.DUMMYFUNCTION("""COMPUTED_VALUE"""),"treatment")</f>
        <v>treatment</v>
      </c>
      <c r="D4415" s="1" t="str">
        <f>IFERROR(__xludf.DUMMYFUNCTION("""COMPUTED_VALUE"""),"new_page")</f>
        <v>new_page</v>
      </c>
      <c r="E4415" s="1">
        <f>IFERROR(__xludf.DUMMYFUNCTION("""COMPUTED_VALUE"""),0.0)</f>
        <v>0</v>
      </c>
    </row>
    <row r="4416">
      <c r="A4416" s="1">
        <f>IFERROR(__xludf.DUMMYFUNCTION("""COMPUTED_VALUE"""),851667.0)</f>
        <v>851667</v>
      </c>
      <c r="B4416" s="2">
        <f>IFERROR(__xludf.DUMMYFUNCTION("""COMPUTED_VALUE"""),42750.6178951516)</f>
        <v>42750.6179</v>
      </c>
      <c r="C4416" s="1" t="str">
        <f>IFERROR(__xludf.DUMMYFUNCTION("""COMPUTED_VALUE"""),"treatment")</f>
        <v>treatment</v>
      </c>
      <c r="D4416" s="1" t="str">
        <f>IFERROR(__xludf.DUMMYFUNCTION("""COMPUTED_VALUE"""),"new_page")</f>
        <v>new_page</v>
      </c>
      <c r="E4416" s="1">
        <f>IFERROR(__xludf.DUMMYFUNCTION("""COMPUTED_VALUE"""),0.0)</f>
        <v>0</v>
      </c>
    </row>
    <row r="4417">
      <c r="A4417" s="1">
        <f>IFERROR(__xludf.DUMMYFUNCTION("""COMPUTED_VALUE"""),802760.0)</f>
        <v>802760</v>
      </c>
      <c r="B4417" s="2">
        <f>IFERROR(__xludf.DUMMYFUNCTION("""COMPUTED_VALUE"""),42740.804444857975)</f>
        <v>42740.80444</v>
      </c>
      <c r="C4417" s="1" t="str">
        <f>IFERROR(__xludf.DUMMYFUNCTION("""COMPUTED_VALUE"""),"treatment")</f>
        <v>treatment</v>
      </c>
      <c r="D4417" s="1" t="str">
        <f>IFERROR(__xludf.DUMMYFUNCTION("""COMPUTED_VALUE"""),"new_page")</f>
        <v>new_page</v>
      </c>
      <c r="E4417" s="1">
        <f>IFERROR(__xludf.DUMMYFUNCTION("""COMPUTED_VALUE"""),0.0)</f>
        <v>0</v>
      </c>
    </row>
    <row r="4418">
      <c r="A4418" s="1">
        <f>IFERROR(__xludf.DUMMYFUNCTION("""COMPUTED_VALUE"""),832408.0)</f>
        <v>832408</v>
      </c>
      <c r="B4418" s="2">
        <f>IFERROR(__xludf.DUMMYFUNCTION("""COMPUTED_VALUE"""),42743.24024021474)</f>
        <v>42743.24024</v>
      </c>
      <c r="C4418" s="1" t="str">
        <f>IFERROR(__xludf.DUMMYFUNCTION("""COMPUTED_VALUE"""),"treatment")</f>
        <v>treatment</v>
      </c>
      <c r="D4418" s="1" t="str">
        <f>IFERROR(__xludf.DUMMYFUNCTION("""COMPUTED_VALUE"""),"new_page")</f>
        <v>new_page</v>
      </c>
      <c r="E4418" s="1">
        <f>IFERROR(__xludf.DUMMYFUNCTION("""COMPUTED_VALUE"""),1.0)</f>
        <v>1</v>
      </c>
    </row>
    <row r="4419">
      <c r="A4419" s="1">
        <f>IFERROR(__xludf.DUMMYFUNCTION("""COMPUTED_VALUE"""),832247.0)</f>
        <v>832247</v>
      </c>
      <c r="B4419" s="2">
        <f>IFERROR(__xludf.DUMMYFUNCTION("""COMPUTED_VALUE"""),42749.43960399103)</f>
        <v>42749.4396</v>
      </c>
      <c r="C4419" s="1" t="str">
        <f>IFERROR(__xludf.DUMMYFUNCTION("""COMPUTED_VALUE"""),"treatment")</f>
        <v>treatment</v>
      </c>
      <c r="D4419" s="1" t="str">
        <f>IFERROR(__xludf.DUMMYFUNCTION("""COMPUTED_VALUE"""),"new_page")</f>
        <v>new_page</v>
      </c>
      <c r="E4419" s="1">
        <f>IFERROR(__xludf.DUMMYFUNCTION("""COMPUTED_VALUE"""),0.0)</f>
        <v>0</v>
      </c>
    </row>
    <row r="4420">
      <c r="A4420" s="1">
        <f>IFERROR(__xludf.DUMMYFUNCTION("""COMPUTED_VALUE"""),780253.0)</f>
        <v>780253</v>
      </c>
      <c r="B4420" s="2">
        <f>IFERROR(__xludf.DUMMYFUNCTION("""COMPUTED_VALUE"""),42747.64061131334)</f>
        <v>42747.64061</v>
      </c>
      <c r="C4420" s="1" t="str">
        <f>IFERROR(__xludf.DUMMYFUNCTION("""COMPUTED_VALUE"""),"treatment")</f>
        <v>treatment</v>
      </c>
      <c r="D4420" s="1" t="str">
        <f>IFERROR(__xludf.DUMMYFUNCTION("""COMPUTED_VALUE"""),"new_page")</f>
        <v>new_page</v>
      </c>
      <c r="E4420" s="1">
        <f>IFERROR(__xludf.DUMMYFUNCTION("""COMPUTED_VALUE"""),0.0)</f>
        <v>0</v>
      </c>
    </row>
    <row r="4421">
      <c r="A4421" s="1">
        <f>IFERROR(__xludf.DUMMYFUNCTION("""COMPUTED_VALUE"""),870489.0)</f>
        <v>870489</v>
      </c>
      <c r="B4421" s="2">
        <f>IFERROR(__xludf.DUMMYFUNCTION("""COMPUTED_VALUE"""),42752.98681407236)</f>
        <v>42752.98681</v>
      </c>
      <c r="C4421" s="1" t="str">
        <f>IFERROR(__xludf.DUMMYFUNCTION("""COMPUTED_VALUE"""),"control")</f>
        <v>control</v>
      </c>
      <c r="D4421" s="1" t="str">
        <f>IFERROR(__xludf.DUMMYFUNCTION("""COMPUTED_VALUE"""),"old_page")</f>
        <v>old_page</v>
      </c>
      <c r="E4421" s="1">
        <f>IFERROR(__xludf.DUMMYFUNCTION("""COMPUTED_VALUE"""),0.0)</f>
        <v>0</v>
      </c>
    </row>
    <row r="4422">
      <c r="A4422" s="1">
        <f>IFERROR(__xludf.DUMMYFUNCTION("""COMPUTED_VALUE"""),679561.0)</f>
        <v>679561</v>
      </c>
      <c r="B4422" s="2">
        <f>IFERROR(__xludf.DUMMYFUNCTION("""COMPUTED_VALUE"""),42748.96603643987)</f>
        <v>42748.96604</v>
      </c>
      <c r="C4422" s="1" t="str">
        <f>IFERROR(__xludf.DUMMYFUNCTION("""COMPUTED_VALUE"""),"control")</f>
        <v>control</v>
      </c>
      <c r="D4422" s="1" t="str">
        <f>IFERROR(__xludf.DUMMYFUNCTION("""COMPUTED_VALUE"""),"old_page")</f>
        <v>old_page</v>
      </c>
      <c r="E4422" s="1">
        <f>IFERROR(__xludf.DUMMYFUNCTION("""COMPUTED_VALUE"""),0.0)</f>
        <v>0</v>
      </c>
    </row>
    <row r="4423">
      <c r="A4423" s="1">
        <f>IFERROR(__xludf.DUMMYFUNCTION("""COMPUTED_VALUE"""),648074.0)</f>
        <v>648074</v>
      </c>
      <c r="B4423" s="2">
        <f>IFERROR(__xludf.DUMMYFUNCTION("""COMPUTED_VALUE"""),42747.99952355199)</f>
        <v>42747.99952</v>
      </c>
      <c r="C4423" s="1" t="str">
        <f>IFERROR(__xludf.DUMMYFUNCTION("""COMPUTED_VALUE"""),"control")</f>
        <v>control</v>
      </c>
      <c r="D4423" s="1" t="str">
        <f>IFERROR(__xludf.DUMMYFUNCTION("""COMPUTED_VALUE"""),"old_page")</f>
        <v>old_page</v>
      </c>
      <c r="E4423" s="1">
        <f>IFERROR(__xludf.DUMMYFUNCTION("""COMPUTED_VALUE"""),0.0)</f>
        <v>0</v>
      </c>
    </row>
    <row r="4424">
      <c r="A4424" s="1">
        <f>IFERROR(__xludf.DUMMYFUNCTION("""COMPUTED_VALUE"""),874376.0)</f>
        <v>874376</v>
      </c>
      <c r="B4424" s="2">
        <f>IFERROR(__xludf.DUMMYFUNCTION("""COMPUTED_VALUE"""),42755.68639457612)</f>
        <v>42755.68639</v>
      </c>
      <c r="C4424" s="1" t="str">
        <f>IFERROR(__xludf.DUMMYFUNCTION("""COMPUTED_VALUE"""),"control")</f>
        <v>control</v>
      </c>
      <c r="D4424" s="1" t="str">
        <f>IFERROR(__xludf.DUMMYFUNCTION("""COMPUTED_VALUE"""),"old_page")</f>
        <v>old_page</v>
      </c>
      <c r="E4424" s="1">
        <f>IFERROR(__xludf.DUMMYFUNCTION("""COMPUTED_VALUE"""),0.0)</f>
        <v>0</v>
      </c>
    </row>
    <row r="4425">
      <c r="A4425" s="1">
        <f>IFERROR(__xludf.DUMMYFUNCTION("""COMPUTED_VALUE"""),883260.0)</f>
        <v>883260</v>
      </c>
      <c r="B4425" s="2">
        <f>IFERROR(__xludf.DUMMYFUNCTION("""COMPUTED_VALUE"""),42749.120664326736)</f>
        <v>42749.12066</v>
      </c>
      <c r="C4425" s="1" t="str">
        <f>IFERROR(__xludf.DUMMYFUNCTION("""COMPUTED_VALUE"""),"treatment")</f>
        <v>treatment</v>
      </c>
      <c r="D4425" s="1" t="str">
        <f>IFERROR(__xludf.DUMMYFUNCTION("""COMPUTED_VALUE"""),"new_page")</f>
        <v>new_page</v>
      </c>
      <c r="E4425" s="1">
        <f>IFERROR(__xludf.DUMMYFUNCTION("""COMPUTED_VALUE"""),0.0)</f>
        <v>0</v>
      </c>
    </row>
    <row r="4426">
      <c r="A4426" s="1">
        <f>IFERROR(__xludf.DUMMYFUNCTION("""COMPUTED_VALUE"""),828196.0)</f>
        <v>828196</v>
      </c>
      <c r="B4426" s="2">
        <f>IFERROR(__xludf.DUMMYFUNCTION("""COMPUTED_VALUE"""),42743.527835190835)</f>
        <v>42743.52784</v>
      </c>
      <c r="C4426" s="1" t="str">
        <f>IFERROR(__xludf.DUMMYFUNCTION("""COMPUTED_VALUE"""),"control")</f>
        <v>control</v>
      </c>
      <c r="D4426" s="1" t="str">
        <f>IFERROR(__xludf.DUMMYFUNCTION("""COMPUTED_VALUE"""),"old_page")</f>
        <v>old_page</v>
      </c>
      <c r="E4426" s="1">
        <f>IFERROR(__xludf.DUMMYFUNCTION("""COMPUTED_VALUE"""),1.0)</f>
        <v>1</v>
      </c>
    </row>
    <row r="4427">
      <c r="A4427" s="1">
        <f>IFERROR(__xludf.DUMMYFUNCTION("""COMPUTED_VALUE"""),842008.0)</f>
        <v>842008</v>
      </c>
      <c r="B4427" s="2">
        <f>IFERROR(__xludf.DUMMYFUNCTION("""COMPUTED_VALUE"""),42753.77971631603)</f>
        <v>42753.77972</v>
      </c>
      <c r="C4427" s="1" t="str">
        <f>IFERROR(__xludf.DUMMYFUNCTION("""COMPUTED_VALUE"""),"control")</f>
        <v>control</v>
      </c>
      <c r="D4427" s="1" t="str">
        <f>IFERROR(__xludf.DUMMYFUNCTION("""COMPUTED_VALUE"""),"old_page")</f>
        <v>old_page</v>
      </c>
      <c r="E4427" s="1">
        <f>IFERROR(__xludf.DUMMYFUNCTION("""COMPUTED_VALUE"""),0.0)</f>
        <v>0</v>
      </c>
    </row>
    <row r="4428">
      <c r="A4428" s="1">
        <f>IFERROR(__xludf.DUMMYFUNCTION("""COMPUTED_VALUE"""),802736.0)</f>
        <v>802736</v>
      </c>
      <c r="B4428" s="2">
        <f>IFERROR(__xludf.DUMMYFUNCTION("""COMPUTED_VALUE"""),42747.944306730315)</f>
        <v>42747.94431</v>
      </c>
      <c r="C4428" s="1" t="str">
        <f>IFERROR(__xludf.DUMMYFUNCTION("""COMPUTED_VALUE"""),"control")</f>
        <v>control</v>
      </c>
      <c r="D4428" s="1" t="str">
        <f>IFERROR(__xludf.DUMMYFUNCTION("""COMPUTED_VALUE"""),"old_page")</f>
        <v>old_page</v>
      </c>
      <c r="E4428" s="1">
        <f>IFERROR(__xludf.DUMMYFUNCTION("""COMPUTED_VALUE"""),0.0)</f>
        <v>0</v>
      </c>
    </row>
    <row r="4429">
      <c r="A4429" s="1">
        <f>IFERROR(__xludf.DUMMYFUNCTION("""COMPUTED_VALUE"""),697731.0)</f>
        <v>697731</v>
      </c>
      <c r="B4429" s="2">
        <f>IFERROR(__xludf.DUMMYFUNCTION("""COMPUTED_VALUE"""),42739.46695759192)</f>
        <v>42739.46696</v>
      </c>
      <c r="C4429" s="1" t="str">
        <f>IFERROR(__xludf.DUMMYFUNCTION("""COMPUTED_VALUE"""),"treatment")</f>
        <v>treatment</v>
      </c>
      <c r="D4429" s="1" t="str">
        <f>IFERROR(__xludf.DUMMYFUNCTION("""COMPUTED_VALUE"""),"new_page")</f>
        <v>new_page</v>
      </c>
      <c r="E4429" s="1">
        <f>IFERROR(__xludf.DUMMYFUNCTION("""COMPUTED_VALUE"""),0.0)</f>
        <v>0</v>
      </c>
    </row>
    <row r="4430">
      <c r="A4430" s="1">
        <f>IFERROR(__xludf.DUMMYFUNCTION("""COMPUTED_VALUE"""),821870.0)</f>
        <v>821870</v>
      </c>
      <c r="B4430" s="2">
        <f>IFERROR(__xludf.DUMMYFUNCTION("""COMPUTED_VALUE"""),42749.89828338059)</f>
        <v>42749.89828</v>
      </c>
      <c r="C4430" s="1" t="str">
        <f>IFERROR(__xludf.DUMMYFUNCTION("""COMPUTED_VALUE"""),"treatment")</f>
        <v>treatment</v>
      </c>
      <c r="D4430" s="1" t="str">
        <f>IFERROR(__xludf.DUMMYFUNCTION("""COMPUTED_VALUE"""),"new_page")</f>
        <v>new_page</v>
      </c>
      <c r="E4430" s="1">
        <f>IFERROR(__xludf.DUMMYFUNCTION("""COMPUTED_VALUE"""),1.0)</f>
        <v>1</v>
      </c>
    </row>
    <row r="4431">
      <c r="A4431" s="1">
        <f>IFERROR(__xludf.DUMMYFUNCTION("""COMPUTED_VALUE"""),831439.0)</f>
        <v>831439</v>
      </c>
      <c r="B4431" s="2">
        <f>IFERROR(__xludf.DUMMYFUNCTION("""COMPUTED_VALUE"""),42737.60182234897)</f>
        <v>42737.60182</v>
      </c>
      <c r="C4431" s="1" t="str">
        <f>IFERROR(__xludf.DUMMYFUNCTION("""COMPUTED_VALUE"""),"control")</f>
        <v>control</v>
      </c>
      <c r="D4431" s="1" t="str">
        <f>IFERROR(__xludf.DUMMYFUNCTION("""COMPUTED_VALUE"""),"old_page")</f>
        <v>old_page</v>
      </c>
      <c r="E4431" s="1">
        <f>IFERROR(__xludf.DUMMYFUNCTION("""COMPUTED_VALUE"""),0.0)</f>
        <v>0</v>
      </c>
    </row>
    <row r="4432">
      <c r="A4432" s="1">
        <f>IFERROR(__xludf.DUMMYFUNCTION("""COMPUTED_VALUE"""),879531.0)</f>
        <v>879531</v>
      </c>
      <c r="B4432" s="2">
        <f>IFERROR(__xludf.DUMMYFUNCTION("""COMPUTED_VALUE"""),42749.28961817632)</f>
        <v>42749.28962</v>
      </c>
      <c r="C4432" s="1" t="str">
        <f>IFERROR(__xludf.DUMMYFUNCTION("""COMPUTED_VALUE"""),"treatment")</f>
        <v>treatment</v>
      </c>
      <c r="D4432" s="1" t="str">
        <f>IFERROR(__xludf.DUMMYFUNCTION("""COMPUTED_VALUE"""),"new_page")</f>
        <v>new_page</v>
      </c>
      <c r="E4432" s="1">
        <f>IFERROR(__xludf.DUMMYFUNCTION("""COMPUTED_VALUE"""),1.0)</f>
        <v>1</v>
      </c>
    </row>
    <row r="4433">
      <c r="A4433" s="1">
        <f>IFERROR(__xludf.DUMMYFUNCTION("""COMPUTED_VALUE"""),689762.0)</f>
        <v>689762</v>
      </c>
      <c r="B4433" s="2">
        <f>IFERROR(__xludf.DUMMYFUNCTION("""COMPUTED_VALUE"""),42745.38836048217)</f>
        <v>42745.38836</v>
      </c>
      <c r="C4433" s="1" t="str">
        <f>IFERROR(__xludf.DUMMYFUNCTION("""COMPUTED_VALUE"""),"control")</f>
        <v>control</v>
      </c>
      <c r="D4433" s="1" t="str">
        <f>IFERROR(__xludf.DUMMYFUNCTION("""COMPUTED_VALUE"""),"old_page")</f>
        <v>old_page</v>
      </c>
      <c r="E4433" s="1">
        <f>IFERROR(__xludf.DUMMYFUNCTION("""COMPUTED_VALUE"""),0.0)</f>
        <v>0</v>
      </c>
    </row>
    <row r="4434">
      <c r="A4434" s="1">
        <f>IFERROR(__xludf.DUMMYFUNCTION("""COMPUTED_VALUE"""),797257.0)</f>
        <v>797257</v>
      </c>
      <c r="B4434" s="2">
        <f>IFERROR(__xludf.DUMMYFUNCTION("""COMPUTED_VALUE"""),42753.0054334703)</f>
        <v>42753.00543</v>
      </c>
      <c r="C4434" s="1" t="str">
        <f>IFERROR(__xludf.DUMMYFUNCTION("""COMPUTED_VALUE"""),"treatment")</f>
        <v>treatment</v>
      </c>
      <c r="D4434" s="1" t="str">
        <f>IFERROR(__xludf.DUMMYFUNCTION("""COMPUTED_VALUE"""),"new_page")</f>
        <v>new_page</v>
      </c>
      <c r="E4434" s="1">
        <f>IFERROR(__xludf.DUMMYFUNCTION("""COMPUTED_VALUE"""),0.0)</f>
        <v>0</v>
      </c>
    </row>
    <row r="4435">
      <c r="A4435" s="1">
        <f>IFERROR(__xludf.DUMMYFUNCTION("""COMPUTED_VALUE"""),865274.0)</f>
        <v>865274</v>
      </c>
      <c r="B4435" s="2">
        <f>IFERROR(__xludf.DUMMYFUNCTION("""COMPUTED_VALUE"""),42748.525838868365)</f>
        <v>42748.52584</v>
      </c>
      <c r="C4435" s="1" t="str">
        <f>IFERROR(__xludf.DUMMYFUNCTION("""COMPUTED_VALUE"""),"control")</f>
        <v>control</v>
      </c>
      <c r="D4435" s="1" t="str">
        <f>IFERROR(__xludf.DUMMYFUNCTION("""COMPUTED_VALUE"""),"old_page")</f>
        <v>old_page</v>
      </c>
      <c r="E4435" s="1">
        <f>IFERROR(__xludf.DUMMYFUNCTION("""COMPUTED_VALUE"""),0.0)</f>
        <v>0</v>
      </c>
    </row>
    <row r="4436">
      <c r="A4436" s="1">
        <f>IFERROR(__xludf.DUMMYFUNCTION("""COMPUTED_VALUE"""),945330.0)</f>
        <v>945330</v>
      </c>
      <c r="B4436" s="2">
        <f>IFERROR(__xludf.DUMMYFUNCTION("""COMPUTED_VALUE"""),42748.264159822036)</f>
        <v>42748.26416</v>
      </c>
      <c r="C4436" s="1" t="str">
        <f>IFERROR(__xludf.DUMMYFUNCTION("""COMPUTED_VALUE"""),"treatment")</f>
        <v>treatment</v>
      </c>
      <c r="D4436" s="1" t="str">
        <f>IFERROR(__xludf.DUMMYFUNCTION("""COMPUTED_VALUE"""),"new_page")</f>
        <v>new_page</v>
      </c>
      <c r="E4436" s="1">
        <f>IFERROR(__xludf.DUMMYFUNCTION("""COMPUTED_VALUE"""),0.0)</f>
        <v>0</v>
      </c>
    </row>
    <row r="4437">
      <c r="A4437" s="1">
        <f>IFERROR(__xludf.DUMMYFUNCTION("""COMPUTED_VALUE"""),731877.0)</f>
        <v>731877</v>
      </c>
      <c r="B4437" s="2">
        <f>IFERROR(__xludf.DUMMYFUNCTION("""COMPUTED_VALUE"""),42757.71436846866)</f>
        <v>42757.71437</v>
      </c>
      <c r="C4437" s="1" t="str">
        <f>IFERROR(__xludf.DUMMYFUNCTION("""COMPUTED_VALUE"""),"control")</f>
        <v>control</v>
      </c>
      <c r="D4437" s="1" t="str">
        <f>IFERROR(__xludf.DUMMYFUNCTION("""COMPUTED_VALUE"""),"old_page")</f>
        <v>old_page</v>
      </c>
      <c r="E4437" s="1">
        <f>IFERROR(__xludf.DUMMYFUNCTION("""COMPUTED_VALUE"""),0.0)</f>
        <v>0</v>
      </c>
    </row>
    <row r="4438">
      <c r="A4438" s="1">
        <f>IFERROR(__xludf.DUMMYFUNCTION("""COMPUTED_VALUE"""),669618.0)</f>
        <v>669618</v>
      </c>
      <c r="B4438" s="2">
        <f>IFERROR(__xludf.DUMMYFUNCTION("""COMPUTED_VALUE"""),42742.021106641594)</f>
        <v>42742.02111</v>
      </c>
      <c r="C4438" s="1" t="str">
        <f>IFERROR(__xludf.DUMMYFUNCTION("""COMPUTED_VALUE"""),"treatment")</f>
        <v>treatment</v>
      </c>
      <c r="D4438" s="1" t="str">
        <f>IFERROR(__xludf.DUMMYFUNCTION("""COMPUTED_VALUE"""),"new_page")</f>
        <v>new_page</v>
      </c>
      <c r="E4438" s="1">
        <f>IFERROR(__xludf.DUMMYFUNCTION("""COMPUTED_VALUE"""),0.0)</f>
        <v>0</v>
      </c>
    </row>
    <row r="4439">
      <c r="A4439" s="1">
        <f>IFERROR(__xludf.DUMMYFUNCTION("""COMPUTED_VALUE"""),682934.0)</f>
        <v>682934</v>
      </c>
      <c r="B4439" s="2">
        <f>IFERROR(__xludf.DUMMYFUNCTION("""COMPUTED_VALUE"""),42741.760169395)</f>
        <v>42741.76017</v>
      </c>
      <c r="C4439" s="1" t="str">
        <f>IFERROR(__xludf.DUMMYFUNCTION("""COMPUTED_VALUE"""),"treatment")</f>
        <v>treatment</v>
      </c>
      <c r="D4439" s="1" t="str">
        <f>IFERROR(__xludf.DUMMYFUNCTION("""COMPUTED_VALUE"""),"new_page")</f>
        <v>new_page</v>
      </c>
      <c r="E4439" s="1">
        <f>IFERROR(__xludf.DUMMYFUNCTION("""COMPUTED_VALUE"""),0.0)</f>
        <v>0</v>
      </c>
    </row>
    <row r="4440">
      <c r="A4440" s="1">
        <f>IFERROR(__xludf.DUMMYFUNCTION("""COMPUTED_VALUE"""),939017.0)</f>
        <v>939017</v>
      </c>
      <c r="B4440" s="2">
        <f>IFERROR(__xludf.DUMMYFUNCTION("""COMPUTED_VALUE"""),42758.11245409893)</f>
        <v>42758.11245</v>
      </c>
      <c r="C4440" s="1" t="str">
        <f>IFERROR(__xludf.DUMMYFUNCTION("""COMPUTED_VALUE"""),"treatment")</f>
        <v>treatment</v>
      </c>
      <c r="D4440" s="1" t="str">
        <f>IFERROR(__xludf.DUMMYFUNCTION("""COMPUTED_VALUE"""),"new_page")</f>
        <v>new_page</v>
      </c>
      <c r="E4440" s="1">
        <f>IFERROR(__xludf.DUMMYFUNCTION("""COMPUTED_VALUE"""),0.0)</f>
        <v>0</v>
      </c>
    </row>
    <row r="4441">
      <c r="A4441" s="1">
        <f>IFERROR(__xludf.DUMMYFUNCTION("""COMPUTED_VALUE"""),801999.0)</f>
        <v>801999</v>
      </c>
      <c r="B4441" s="2">
        <f>IFERROR(__xludf.DUMMYFUNCTION("""COMPUTED_VALUE"""),42743.545700296796)</f>
        <v>42743.5457</v>
      </c>
      <c r="C4441" s="1" t="str">
        <f>IFERROR(__xludf.DUMMYFUNCTION("""COMPUTED_VALUE"""),"control")</f>
        <v>control</v>
      </c>
      <c r="D4441" s="1" t="str">
        <f>IFERROR(__xludf.DUMMYFUNCTION("""COMPUTED_VALUE"""),"old_page")</f>
        <v>old_page</v>
      </c>
      <c r="E4441" s="1">
        <f>IFERROR(__xludf.DUMMYFUNCTION("""COMPUTED_VALUE"""),0.0)</f>
        <v>0</v>
      </c>
    </row>
    <row r="4442">
      <c r="A4442" s="1">
        <f>IFERROR(__xludf.DUMMYFUNCTION("""COMPUTED_VALUE"""),916842.0)</f>
        <v>916842</v>
      </c>
      <c r="B4442" s="2">
        <f>IFERROR(__xludf.DUMMYFUNCTION("""COMPUTED_VALUE"""),42742.21445143779)</f>
        <v>42742.21445</v>
      </c>
      <c r="C4442" s="1" t="str">
        <f>IFERROR(__xludf.DUMMYFUNCTION("""COMPUTED_VALUE"""),"control")</f>
        <v>control</v>
      </c>
      <c r="D4442" s="1" t="str">
        <f>IFERROR(__xludf.DUMMYFUNCTION("""COMPUTED_VALUE"""),"old_page")</f>
        <v>old_page</v>
      </c>
      <c r="E4442" s="1">
        <f>IFERROR(__xludf.DUMMYFUNCTION("""COMPUTED_VALUE"""),0.0)</f>
        <v>0</v>
      </c>
    </row>
    <row r="4443">
      <c r="A4443" s="1">
        <f>IFERROR(__xludf.DUMMYFUNCTION("""COMPUTED_VALUE"""),735082.0)</f>
        <v>735082</v>
      </c>
      <c r="B4443" s="2">
        <f>IFERROR(__xludf.DUMMYFUNCTION("""COMPUTED_VALUE"""),42758.106651979135)</f>
        <v>42758.10665</v>
      </c>
      <c r="C4443" s="1" t="str">
        <f>IFERROR(__xludf.DUMMYFUNCTION("""COMPUTED_VALUE"""),"control")</f>
        <v>control</v>
      </c>
      <c r="D4443" s="1" t="str">
        <f>IFERROR(__xludf.DUMMYFUNCTION("""COMPUTED_VALUE"""),"old_page")</f>
        <v>old_page</v>
      </c>
      <c r="E4443" s="1">
        <f>IFERROR(__xludf.DUMMYFUNCTION("""COMPUTED_VALUE"""),0.0)</f>
        <v>0</v>
      </c>
    </row>
    <row r="4444">
      <c r="A4444" s="1">
        <f>IFERROR(__xludf.DUMMYFUNCTION("""COMPUTED_VALUE"""),839829.0)</f>
        <v>839829</v>
      </c>
      <c r="B4444" s="2">
        <f>IFERROR(__xludf.DUMMYFUNCTION("""COMPUTED_VALUE"""),42746.72003401634)</f>
        <v>42746.72003</v>
      </c>
      <c r="C4444" s="1" t="str">
        <f>IFERROR(__xludf.DUMMYFUNCTION("""COMPUTED_VALUE"""),"control")</f>
        <v>control</v>
      </c>
      <c r="D4444" s="1" t="str">
        <f>IFERROR(__xludf.DUMMYFUNCTION("""COMPUTED_VALUE"""),"old_page")</f>
        <v>old_page</v>
      </c>
      <c r="E4444" s="1">
        <f>IFERROR(__xludf.DUMMYFUNCTION("""COMPUTED_VALUE"""),0.0)</f>
        <v>0</v>
      </c>
    </row>
    <row r="4445">
      <c r="A4445" s="1">
        <f>IFERROR(__xludf.DUMMYFUNCTION("""COMPUTED_VALUE"""),703095.0)</f>
        <v>703095</v>
      </c>
      <c r="B4445" s="2">
        <f>IFERROR(__xludf.DUMMYFUNCTION("""COMPUTED_VALUE"""),42739.751429521566)</f>
        <v>42739.75143</v>
      </c>
      <c r="C4445" s="1" t="str">
        <f>IFERROR(__xludf.DUMMYFUNCTION("""COMPUTED_VALUE"""),"treatment")</f>
        <v>treatment</v>
      </c>
      <c r="D4445" s="1" t="str">
        <f>IFERROR(__xludf.DUMMYFUNCTION("""COMPUTED_VALUE"""),"new_page")</f>
        <v>new_page</v>
      </c>
      <c r="E4445" s="1">
        <f>IFERROR(__xludf.DUMMYFUNCTION("""COMPUTED_VALUE"""),0.0)</f>
        <v>0</v>
      </c>
    </row>
    <row r="4446">
      <c r="A4446" s="1">
        <f>IFERROR(__xludf.DUMMYFUNCTION("""COMPUTED_VALUE"""),871170.0)</f>
        <v>871170</v>
      </c>
      <c r="B4446" s="2">
        <f>IFERROR(__xludf.DUMMYFUNCTION("""COMPUTED_VALUE"""),42749.78589495157)</f>
        <v>42749.78589</v>
      </c>
      <c r="C4446" s="1" t="str">
        <f>IFERROR(__xludf.DUMMYFUNCTION("""COMPUTED_VALUE"""),"treatment")</f>
        <v>treatment</v>
      </c>
      <c r="D4446" s="1" t="str">
        <f>IFERROR(__xludf.DUMMYFUNCTION("""COMPUTED_VALUE"""),"new_page")</f>
        <v>new_page</v>
      </c>
      <c r="E4446" s="1">
        <f>IFERROR(__xludf.DUMMYFUNCTION("""COMPUTED_VALUE"""),0.0)</f>
        <v>0</v>
      </c>
    </row>
    <row r="4447">
      <c r="A4447" s="1">
        <f>IFERROR(__xludf.DUMMYFUNCTION("""COMPUTED_VALUE"""),698873.0)</f>
        <v>698873</v>
      </c>
      <c r="B4447" s="2">
        <f>IFERROR(__xludf.DUMMYFUNCTION("""COMPUTED_VALUE"""),42741.48308784598)</f>
        <v>42741.48309</v>
      </c>
      <c r="C4447" s="1" t="str">
        <f>IFERROR(__xludf.DUMMYFUNCTION("""COMPUTED_VALUE"""),"control")</f>
        <v>control</v>
      </c>
      <c r="D4447" s="1" t="str">
        <f>IFERROR(__xludf.DUMMYFUNCTION("""COMPUTED_VALUE"""),"old_page")</f>
        <v>old_page</v>
      </c>
      <c r="E4447" s="1">
        <f>IFERROR(__xludf.DUMMYFUNCTION("""COMPUTED_VALUE"""),0.0)</f>
        <v>0</v>
      </c>
    </row>
    <row r="4448">
      <c r="A4448" s="1">
        <f>IFERROR(__xludf.DUMMYFUNCTION("""COMPUTED_VALUE"""),689245.0)</f>
        <v>689245</v>
      </c>
      <c r="B4448" s="2">
        <f>IFERROR(__xludf.DUMMYFUNCTION("""COMPUTED_VALUE"""),42753.708768497665)</f>
        <v>42753.70877</v>
      </c>
      <c r="C4448" s="1" t="str">
        <f>IFERROR(__xludf.DUMMYFUNCTION("""COMPUTED_VALUE"""),"treatment")</f>
        <v>treatment</v>
      </c>
      <c r="D4448" s="1" t="str">
        <f>IFERROR(__xludf.DUMMYFUNCTION("""COMPUTED_VALUE"""),"new_page")</f>
        <v>new_page</v>
      </c>
      <c r="E4448" s="1">
        <f>IFERROR(__xludf.DUMMYFUNCTION("""COMPUTED_VALUE"""),0.0)</f>
        <v>0</v>
      </c>
    </row>
    <row r="4449">
      <c r="A4449" s="1">
        <f>IFERROR(__xludf.DUMMYFUNCTION("""COMPUTED_VALUE"""),751654.0)</f>
        <v>751654</v>
      </c>
      <c r="B4449" s="2">
        <f>IFERROR(__xludf.DUMMYFUNCTION("""COMPUTED_VALUE"""),42750.40433289733)</f>
        <v>42750.40433</v>
      </c>
      <c r="C4449" s="1" t="str">
        <f>IFERROR(__xludf.DUMMYFUNCTION("""COMPUTED_VALUE"""),"control")</f>
        <v>control</v>
      </c>
      <c r="D4449" s="1" t="str">
        <f>IFERROR(__xludf.DUMMYFUNCTION("""COMPUTED_VALUE"""),"old_page")</f>
        <v>old_page</v>
      </c>
      <c r="E4449" s="1">
        <f>IFERROR(__xludf.DUMMYFUNCTION("""COMPUTED_VALUE"""),0.0)</f>
        <v>0</v>
      </c>
    </row>
    <row r="4450">
      <c r="A4450" s="1">
        <f>IFERROR(__xludf.DUMMYFUNCTION("""COMPUTED_VALUE"""),687132.0)</f>
        <v>687132</v>
      </c>
      <c r="B4450" s="2">
        <f>IFERROR(__xludf.DUMMYFUNCTION("""COMPUTED_VALUE"""),42740.642546545154)</f>
        <v>42740.64255</v>
      </c>
      <c r="C4450" s="1" t="str">
        <f>IFERROR(__xludf.DUMMYFUNCTION("""COMPUTED_VALUE"""),"control")</f>
        <v>control</v>
      </c>
      <c r="D4450" s="1" t="str">
        <f>IFERROR(__xludf.DUMMYFUNCTION("""COMPUTED_VALUE"""),"old_page")</f>
        <v>old_page</v>
      </c>
      <c r="E4450" s="1">
        <f>IFERROR(__xludf.DUMMYFUNCTION("""COMPUTED_VALUE"""),0.0)</f>
        <v>0</v>
      </c>
    </row>
    <row r="4451">
      <c r="A4451" s="1">
        <f>IFERROR(__xludf.DUMMYFUNCTION("""COMPUTED_VALUE"""),793177.0)</f>
        <v>793177</v>
      </c>
      <c r="B4451" s="2">
        <f>IFERROR(__xludf.DUMMYFUNCTION("""COMPUTED_VALUE"""),42740.01837259002)</f>
        <v>42740.01837</v>
      </c>
      <c r="C4451" s="1" t="str">
        <f>IFERROR(__xludf.DUMMYFUNCTION("""COMPUTED_VALUE"""),"treatment")</f>
        <v>treatment</v>
      </c>
      <c r="D4451" s="1" t="str">
        <f>IFERROR(__xludf.DUMMYFUNCTION("""COMPUTED_VALUE"""),"new_page")</f>
        <v>new_page</v>
      </c>
      <c r="E4451" s="1">
        <f>IFERROR(__xludf.DUMMYFUNCTION("""COMPUTED_VALUE"""),1.0)</f>
        <v>1</v>
      </c>
    </row>
    <row r="4452">
      <c r="A4452" s="1">
        <f>IFERROR(__xludf.DUMMYFUNCTION("""COMPUTED_VALUE"""),676055.0)</f>
        <v>676055</v>
      </c>
      <c r="B4452" s="2">
        <f>IFERROR(__xludf.DUMMYFUNCTION("""COMPUTED_VALUE"""),42745.336667803684)</f>
        <v>42745.33667</v>
      </c>
      <c r="C4452" s="1" t="str">
        <f>IFERROR(__xludf.DUMMYFUNCTION("""COMPUTED_VALUE"""),"control")</f>
        <v>control</v>
      </c>
      <c r="D4452" s="1" t="str">
        <f>IFERROR(__xludf.DUMMYFUNCTION("""COMPUTED_VALUE"""),"old_page")</f>
        <v>old_page</v>
      </c>
      <c r="E4452" s="1">
        <f>IFERROR(__xludf.DUMMYFUNCTION("""COMPUTED_VALUE"""),0.0)</f>
        <v>0</v>
      </c>
    </row>
    <row r="4453">
      <c r="A4453" s="1">
        <f>IFERROR(__xludf.DUMMYFUNCTION("""COMPUTED_VALUE"""),888046.0)</f>
        <v>888046</v>
      </c>
      <c r="B4453" s="2">
        <f>IFERROR(__xludf.DUMMYFUNCTION("""COMPUTED_VALUE"""),42758.474468777305)</f>
        <v>42758.47447</v>
      </c>
      <c r="C4453" s="1" t="str">
        <f>IFERROR(__xludf.DUMMYFUNCTION("""COMPUTED_VALUE"""),"control")</f>
        <v>control</v>
      </c>
      <c r="D4453" s="1" t="str">
        <f>IFERROR(__xludf.DUMMYFUNCTION("""COMPUTED_VALUE"""),"old_page")</f>
        <v>old_page</v>
      </c>
      <c r="E4453" s="1">
        <f>IFERROR(__xludf.DUMMYFUNCTION("""COMPUTED_VALUE"""),0.0)</f>
        <v>0</v>
      </c>
    </row>
    <row r="4454">
      <c r="A4454" s="1">
        <f>IFERROR(__xludf.DUMMYFUNCTION("""COMPUTED_VALUE"""),839495.0)</f>
        <v>839495</v>
      </c>
      <c r="B4454" s="2">
        <f>IFERROR(__xludf.DUMMYFUNCTION("""COMPUTED_VALUE"""),42748.38211962118)</f>
        <v>42748.38212</v>
      </c>
      <c r="C4454" s="1" t="str">
        <f>IFERROR(__xludf.DUMMYFUNCTION("""COMPUTED_VALUE"""),"treatment")</f>
        <v>treatment</v>
      </c>
      <c r="D4454" s="1" t="str">
        <f>IFERROR(__xludf.DUMMYFUNCTION("""COMPUTED_VALUE"""),"new_page")</f>
        <v>new_page</v>
      </c>
      <c r="E4454" s="1">
        <f>IFERROR(__xludf.DUMMYFUNCTION("""COMPUTED_VALUE"""),0.0)</f>
        <v>0</v>
      </c>
    </row>
    <row r="4455">
      <c r="A4455" s="1">
        <f>IFERROR(__xludf.DUMMYFUNCTION("""COMPUTED_VALUE"""),672105.0)</f>
        <v>672105</v>
      </c>
      <c r="B4455" s="2">
        <f>IFERROR(__xludf.DUMMYFUNCTION("""COMPUTED_VALUE"""),42748.17595917793)</f>
        <v>42748.17596</v>
      </c>
      <c r="C4455" s="1" t="str">
        <f>IFERROR(__xludf.DUMMYFUNCTION("""COMPUTED_VALUE"""),"control")</f>
        <v>control</v>
      </c>
      <c r="D4455" s="1" t="str">
        <f>IFERROR(__xludf.DUMMYFUNCTION("""COMPUTED_VALUE"""),"old_page")</f>
        <v>old_page</v>
      </c>
      <c r="E4455" s="1">
        <f>IFERROR(__xludf.DUMMYFUNCTION("""COMPUTED_VALUE"""),0.0)</f>
        <v>0</v>
      </c>
    </row>
    <row r="4456">
      <c r="A4456" s="1">
        <f>IFERROR(__xludf.DUMMYFUNCTION("""COMPUTED_VALUE"""),806438.0)</f>
        <v>806438</v>
      </c>
      <c r="B4456" s="2">
        <f>IFERROR(__xludf.DUMMYFUNCTION("""COMPUTED_VALUE"""),42744.481251620025)</f>
        <v>42744.48125</v>
      </c>
      <c r="C4456" s="1" t="str">
        <f>IFERROR(__xludf.DUMMYFUNCTION("""COMPUTED_VALUE"""),"control")</f>
        <v>control</v>
      </c>
      <c r="D4456" s="1" t="str">
        <f>IFERROR(__xludf.DUMMYFUNCTION("""COMPUTED_VALUE"""),"old_page")</f>
        <v>old_page</v>
      </c>
      <c r="E4456" s="1">
        <f>IFERROR(__xludf.DUMMYFUNCTION("""COMPUTED_VALUE"""),0.0)</f>
        <v>0</v>
      </c>
    </row>
    <row r="4457">
      <c r="A4457" s="1">
        <f>IFERROR(__xludf.DUMMYFUNCTION("""COMPUTED_VALUE"""),779377.0)</f>
        <v>779377</v>
      </c>
      <c r="B4457" s="2">
        <f>IFERROR(__xludf.DUMMYFUNCTION("""COMPUTED_VALUE"""),42756.85810923904)</f>
        <v>42756.85811</v>
      </c>
      <c r="C4457" s="1" t="str">
        <f>IFERROR(__xludf.DUMMYFUNCTION("""COMPUTED_VALUE"""),"control")</f>
        <v>control</v>
      </c>
      <c r="D4457" s="1" t="str">
        <f>IFERROR(__xludf.DUMMYFUNCTION("""COMPUTED_VALUE"""),"old_page")</f>
        <v>old_page</v>
      </c>
      <c r="E4457" s="1">
        <f>IFERROR(__xludf.DUMMYFUNCTION("""COMPUTED_VALUE"""),1.0)</f>
        <v>1</v>
      </c>
    </row>
    <row r="4458">
      <c r="A4458" s="1">
        <f>IFERROR(__xludf.DUMMYFUNCTION("""COMPUTED_VALUE"""),787596.0)</f>
        <v>787596</v>
      </c>
      <c r="B4458" s="2">
        <f>IFERROR(__xludf.DUMMYFUNCTION("""COMPUTED_VALUE"""),42746.7731048556)</f>
        <v>42746.7731</v>
      </c>
      <c r="C4458" s="1" t="str">
        <f>IFERROR(__xludf.DUMMYFUNCTION("""COMPUTED_VALUE"""),"control")</f>
        <v>control</v>
      </c>
      <c r="D4458" s="1" t="str">
        <f>IFERROR(__xludf.DUMMYFUNCTION("""COMPUTED_VALUE"""),"old_page")</f>
        <v>old_page</v>
      </c>
      <c r="E4458" s="1">
        <f>IFERROR(__xludf.DUMMYFUNCTION("""COMPUTED_VALUE"""),1.0)</f>
        <v>1</v>
      </c>
    </row>
    <row r="4459">
      <c r="A4459" s="1">
        <f>IFERROR(__xludf.DUMMYFUNCTION("""COMPUTED_VALUE"""),790456.0)</f>
        <v>790456</v>
      </c>
      <c r="B4459" s="2">
        <f>IFERROR(__xludf.DUMMYFUNCTION("""COMPUTED_VALUE"""),42742.55732068452)</f>
        <v>42742.55732</v>
      </c>
      <c r="C4459" s="1" t="str">
        <f>IFERROR(__xludf.DUMMYFUNCTION("""COMPUTED_VALUE"""),"control")</f>
        <v>control</v>
      </c>
      <c r="D4459" s="1" t="str">
        <f>IFERROR(__xludf.DUMMYFUNCTION("""COMPUTED_VALUE"""),"old_page")</f>
        <v>old_page</v>
      </c>
      <c r="E4459" s="1">
        <f>IFERROR(__xludf.DUMMYFUNCTION("""COMPUTED_VALUE"""),0.0)</f>
        <v>0</v>
      </c>
    </row>
    <row r="4460">
      <c r="A4460" s="1">
        <f>IFERROR(__xludf.DUMMYFUNCTION("""COMPUTED_VALUE"""),772133.0)</f>
        <v>772133</v>
      </c>
      <c r="B4460" s="2">
        <f>IFERROR(__xludf.DUMMYFUNCTION("""COMPUTED_VALUE"""),42749.38470704882)</f>
        <v>42749.38471</v>
      </c>
      <c r="C4460" s="1" t="str">
        <f>IFERROR(__xludf.DUMMYFUNCTION("""COMPUTED_VALUE"""),"treatment")</f>
        <v>treatment</v>
      </c>
      <c r="D4460" s="1" t="str">
        <f>IFERROR(__xludf.DUMMYFUNCTION("""COMPUTED_VALUE"""),"new_page")</f>
        <v>new_page</v>
      </c>
      <c r="E4460" s="1">
        <f>IFERROR(__xludf.DUMMYFUNCTION("""COMPUTED_VALUE"""),1.0)</f>
        <v>1</v>
      </c>
    </row>
    <row r="4461">
      <c r="A4461" s="1">
        <f>IFERROR(__xludf.DUMMYFUNCTION("""COMPUTED_VALUE"""),679300.0)</f>
        <v>679300</v>
      </c>
      <c r="B4461" s="2">
        <f>IFERROR(__xludf.DUMMYFUNCTION("""COMPUTED_VALUE"""),42740.10474373845)</f>
        <v>42740.10474</v>
      </c>
      <c r="C4461" s="1" t="str">
        <f>IFERROR(__xludf.DUMMYFUNCTION("""COMPUTED_VALUE"""),"treatment")</f>
        <v>treatment</v>
      </c>
      <c r="D4461" s="1" t="str">
        <f>IFERROR(__xludf.DUMMYFUNCTION("""COMPUTED_VALUE"""),"new_page")</f>
        <v>new_page</v>
      </c>
      <c r="E4461" s="1">
        <f>IFERROR(__xludf.DUMMYFUNCTION("""COMPUTED_VALUE"""),1.0)</f>
        <v>1</v>
      </c>
    </row>
    <row r="4462">
      <c r="A4462" s="1">
        <f>IFERROR(__xludf.DUMMYFUNCTION("""COMPUTED_VALUE"""),646430.0)</f>
        <v>646430</v>
      </c>
      <c r="B4462" s="2">
        <f>IFERROR(__xludf.DUMMYFUNCTION("""COMPUTED_VALUE"""),42738.29384294934)</f>
        <v>42738.29384</v>
      </c>
      <c r="C4462" s="1" t="str">
        <f>IFERROR(__xludf.DUMMYFUNCTION("""COMPUTED_VALUE"""),"treatment")</f>
        <v>treatment</v>
      </c>
      <c r="D4462" s="1" t="str">
        <f>IFERROR(__xludf.DUMMYFUNCTION("""COMPUTED_VALUE"""),"new_page")</f>
        <v>new_page</v>
      </c>
      <c r="E4462" s="1">
        <f>IFERROR(__xludf.DUMMYFUNCTION("""COMPUTED_VALUE"""),0.0)</f>
        <v>0</v>
      </c>
    </row>
    <row r="4463">
      <c r="A4463" s="1">
        <f>IFERROR(__xludf.DUMMYFUNCTION("""COMPUTED_VALUE"""),701820.0)</f>
        <v>701820</v>
      </c>
      <c r="B4463" s="2">
        <f>IFERROR(__xludf.DUMMYFUNCTION("""COMPUTED_VALUE"""),42759.56375978522)</f>
        <v>42759.56376</v>
      </c>
      <c r="C4463" s="1" t="str">
        <f>IFERROR(__xludf.DUMMYFUNCTION("""COMPUTED_VALUE"""),"treatment")</f>
        <v>treatment</v>
      </c>
      <c r="D4463" s="1" t="str">
        <f>IFERROR(__xludf.DUMMYFUNCTION("""COMPUTED_VALUE"""),"new_page")</f>
        <v>new_page</v>
      </c>
      <c r="E4463" s="1">
        <f>IFERROR(__xludf.DUMMYFUNCTION("""COMPUTED_VALUE"""),0.0)</f>
        <v>0</v>
      </c>
    </row>
    <row r="4464">
      <c r="A4464" s="1">
        <f>IFERROR(__xludf.DUMMYFUNCTION("""COMPUTED_VALUE"""),828463.0)</f>
        <v>828463</v>
      </c>
      <c r="B4464" s="2">
        <f>IFERROR(__xludf.DUMMYFUNCTION("""COMPUTED_VALUE"""),42751.26685137986)</f>
        <v>42751.26685</v>
      </c>
      <c r="C4464" s="1" t="str">
        <f>IFERROR(__xludf.DUMMYFUNCTION("""COMPUTED_VALUE"""),"treatment")</f>
        <v>treatment</v>
      </c>
      <c r="D4464" s="1" t="str">
        <f>IFERROR(__xludf.DUMMYFUNCTION("""COMPUTED_VALUE"""),"new_page")</f>
        <v>new_page</v>
      </c>
      <c r="E4464" s="1">
        <f>IFERROR(__xludf.DUMMYFUNCTION("""COMPUTED_VALUE"""),0.0)</f>
        <v>0</v>
      </c>
    </row>
    <row r="4465">
      <c r="A4465" s="1">
        <f>IFERROR(__xludf.DUMMYFUNCTION("""COMPUTED_VALUE"""),902110.0)</f>
        <v>902110</v>
      </c>
      <c r="B4465" s="2">
        <f>IFERROR(__xludf.DUMMYFUNCTION("""COMPUTED_VALUE"""),42743.26162827244)</f>
        <v>42743.26163</v>
      </c>
      <c r="C4465" s="1" t="str">
        <f>IFERROR(__xludf.DUMMYFUNCTION("""COMPUTED_VALUE"""),"control")</f>
        <v>control</v>
      </c>
      <c r="D4465" s="1" t="str">
        <f>IFERROR(__xludf.DUMMYFUNCTION("""COMPUTED_VALUE"""),"old_page")</f>
        <v>old_page</v>
      </c>
      <c r="E4465" s="1">
        <f>IFERROR(__xludf.DUMMYFUNCTION("""COMPUTED_VALUE"""),0.0)</f>
        <v>0</v>
      </c>
    </row>
    <row r="4466">
      <c r="A4466" s="1">
        <f>IFERROR(__xludf.DUMMYFUNCTION("""COMPUTED_VALUE"""),865309.0)</f>
        <v>865309</v>
      </c>
      <c r="B4466" s="2">
        <f>IFERROR(__xludf.DUMMYFUNCTION("""COMPUTED_VALUE"""),42744.15188244021)</f>
        <v>42744.15188</v>
      </c>
      <c r="C4466" s="1" t="str">
        <f>IFERROR(__xludf.DUMMYFUNCTION("""COMPUTED_VALUE"""),"treatment")</f>
        <v>treatment</v>
      </c>
      <c r="D4466" s="1" t="str">
        <f>IFERROR(__xludf.DUMMYFUNCTION("""COMPUTED_VALUE"""),"new_page")</f>
        <v>new_page</v>
      </c>
      <c r="E4466" s="1">
        <f>IFERROR(__xludf.DUMMYFUNCTION("""COMPUTED_VALUE"""),0.0)</f>
        <v>0</v>
      </c>
    </row>
    <row r="4467">
      <c r="A4467" s="1">
        <f>IFERROR(__xludf.DUMMYFUNCTION("""COMPUTED_VALUE"""),827925.0)</f>
        <v>827925</v>
      </c>
      <c r="B4467" s="2">
        <f>IFERROR(__xludf.DUMMYFUNCTION("""COMPUTED_VALUE"""),42746.187102567244)</f>
        <v>42746.1871</v>
      </c>
      <c r="C4467" s="1" t="str">
        <f>IFERROR(__xludf.DUMMYFUNCTION("""COMPUTED_VALUE"""),"treatment")</f>
        <v>treatment</v>
      </c>
      <c r="D4467" s="1" t="str">
        <f>IFERROR(__xludf.DUMMYFUNCTION("""COMPUTED_VALUE"""),"new_page")</f>
        <v>new_page</v>
      </c>
      <c r="E4467" s="1">
        <f>IFERROR(__xludf.DUMMYFUNCTION("""COMPUTED_VALUE"""),0.0)</f>
        <v>0</v>
      </c>
    </row>
    <row r="4468">
      <c r="A4468" s="1">
        <f>IFERROR(__xludf.DUMMYFUNCTION("""COMPUTED_VALUE"""),752993.0)</f>
        <v>752993</v>
      </c>
      <c r="B4468" s="2">
        <f>IFERROR(__xludf.DUMMYFUNCTION("""COMPUTED_VALUE"""),42744.64805937773)</f>
        <v>42744.64806</v>
      </c>
      <c r="C4468" s="1" t="str">
        <f>IFERROR(__xludf.DUMMYFUNCTION("""COMPUTED_VALUE"""),"control")</f>
        <v>control</v>
      </c>
      <c r="D4468" s="1" t="str">
        <f>IFERROR(__xludf.DUMMYFUNCTION("""COMPUTED_VALUE"""),"old_page")</f>
        <v>old_page</v>
      </c>
      <c r="E4468" s="1">
        <f>IFERROR(__xludf.DUMMYFUNCTION("""COMPUTED_VALUE"""),0.0)</f>
        <v>0</v>
      </c>
    </row>
    <row r="4469">
      <c r="A4469" s="1">
        <f>IFERROR(__xludf.DUMMYFUNCTION("""COMPUTED_VALUE"""),665041.0)</f>
        <v>665041</v>
      </c>
      <c r="B4469" s="2">
        <f>IFERROR(__xludf.DUMMYFUNCTION("""COMPUTED_VALUE"""),42746.683649356215)</f>
        <v>42746.68365</v>
      </c>
      <c r="C4469" s="1" t="str">
        <f>IFERROR(__xludf.DUMMYFUNCTION("""COMPUTED_VALUE"""),"treatment")</f>
        <v>treatment</v>
      </c>
      <c r="D4469" s="1" t="str">
        <f>IFERROR(__xludf.DUMMYFUNCTION("""COMPUTED_VALUE"""),"new_page")</f>
        <v>new_page</v>
      </c>
      <c r="E4469" s="1">
        <f>IFERROR(__xludf.DUMMYFUNCTION("""COMPUTED_VALUE"""),0.0)</f>
        <v>0</v>
      </c>
    </row>
    <row r="4470">
      <c r="A4470" s="1">
        <f>IFERROR(__xludf.DUMMYFUNCTION("""COMPUTED_VALUE"""),896909.0)</f>
        <v>896909</v>
      </c>
      <c r="B4470" s="2">
        <f>IFERROR(__xludf.DUMMYFUNCTION("""COMPUTED_VALUE"""),42737.65615608599)</f>
        <v>42737.65616</v>
      </c>
      <c r="C4470" s="1" t="str">
        <f>IFERROR(__xludf.DUMMYFUNCTION("""COMPUTED_VALUE"""),"control")</f>
        <v>control</v>
      </c>
      <c r="D4470" s="1" t="str">
        <f>IFERROR(__xludf.DUMMYFUNCTION("""COMPUTED_VALUE"""),"old_page")</f>
        <v>old_page</v>
      </c>
      <c r="E4470" s="1">
        <f>IFERROR(__xludf.DUMMYFUNCTION("""COMPUTED_VALUE"""),0.0)</f>
        <v>0</v>
      </c>
    </row>
    <row r="4471">
      <c r="A4471" s="1">
        <f>IFERROR(__xludf.DUMMYFUNCTION("""COMPUTED_VALUE"""),814522.0)</f>
        <v>814522</v>
      </c>
      <c r="B4471" s="2">
        <f>IFERROR(__xludf.DUMMYFUNCTION("""COMPUTED_VALUE"""),42756.729876741665)</f>
        <v>42756.72988</v>
      </c>
      <c r="C4471" s="1" t="str">
        <f>IFERROR(__xludf.DUMMYFUNCTION("""COMPUTED_VALUE"""),"treatment")</f>
        <v>treatment</v>
      </c>
      <c r="D4471" s="1" t="str">
        <f>IFERROR(__xludf.DUMMYFUNCTION("""COMPUTED_VALUE"""),"new_page")</f>
        <v>new_page</v>
      </c>
      <c r="E4471" s="1">
        <f>IFERROR(__xludf.DUMMYFUNCTION("""COMPUTED_VALUE"""),0.0)</f>
        <v>0</v>
      </c>
    </row>
    <row r="4472">
      <c r="A4472" s="1">
        <f>IFERROR(__xludf.DUMMYFUNCTION("""COMPUTED_VALUE"""),910349.0)</f>
        <v>910349</v>
      </c>
      <c r="B4472" s="2">
        <f>IFERROR(__xludf.DUMMYFUNCTION("""COMPUTED_VALUE"""),42755.95889338646)</f>
        <v>42755.95889</v>
      </c>
      <c r="C4472" s="1" t="str">
        <f>IFERROR(__xludf.DUMMYFUNCTION("""COMPUTED_VALUE"""),"treatment")</f>
        <v>treatment</v>
      </c>
      <c r="D4472" s="1" t="str">
        <f>IFERROR(__xludf.DUMMYFUNCTION("""COMPUTED_VALUE"""),"new_page")</f>
        <v>new_page</v>
      </c>
      <c r="E4472" s="1">
        <f>IFERROR(__xludf.DUMMYFUNCTION("""COMPUTED_VALUE"""),0.0)</f>
        <v>0</v>
      </c>
    </row>
    <row r="4473">
      <c r="A4473" s="1">
        <f>IFERROR(__xludf.DUMMYFUNCTION("""COMPUTED_VALUE"""),674015.0)</f>
        <v>674015</v>
      </c>
      <c r="B4473" s="2">
        <f>IFERROR(__xludf.DUMMYFUNCTION("""COMPUTED_VALUE"""),42745.32188791716)</f>
        <v>42745.32189</v>
      </c>
      <c r="C4473" s="1" t="str">
        <f>IFERROR(__xludf.DUMMYFUNCTION("""COMPUTED_VALUE"""),"control")</f>
        <v>control</v>
      </c>
      <c r="D4473" s="1" t="str">
        <f>IFERROR(__xludf.DUMMYFUNCTION("""COMPUTED_VALUE"""),"old_page")</f>
        <v>old_page</v>
      </c>
      <c r="E4473" s="1">
        <f>IFERROR(__xludf.DUMMYFUNCTION("""COMPUTED_VALUE"""),0.0)</f>
        <v>0</v>
      </c>
    </row>
    <row r="4474">
      <c r="A4474" s="1">
        <f>IFERROR(__xludf.DUMMYFUNCTION("""COMPUTED_VALUE"""),861709.0)</f>
        <v>861709</v>
      </c>
      <c r="B4474" s="2">
        <f>IFERROR(__xludf.DUMMYFUNCTION("""COMPUTED_VALUE"""),42746.05577331788)</f>
        <v>42746.05577</v>
      </c>
      <c r="C4474" s="1" t="str">
        <f>IFERROR(__xludf.DUMMYFUNCTION("""COMPUTED_VALUE"""),"treatment")</f>
        <v>treatment</v>
      </c>
      <c r="D4474" s="1" t="str">
        <f>IFERROR(__xludf.DUMMYFUNCTION("""COMPUTED_VALUE"""),"new_page")</f>
        <v>new_page</v>
      </c>
      <c r="E4474" s="1">
        <f>IFERROR(__xludf.DUMMYFUNCTION("""COMPUTED_VALUE"""),0.0)</f>
        <v>0</v>
      </c>
    </row>
    <row r="4475">
      <c r="A4475" s="1">
        <f>IFERROR(__xludf.DUMMYFUNCTION("""COMPUTED_VALUE"""),697211.0)</f>
        <v>697211</v>
      </c>
      <c r="B4475" s="2">
        <f>IFERROR(__xludf.DUMMYFUNCTION("""COMPUTED_VALUE"""),42744.935725949676)</f>
        <v>42744.93573</v>
      </c>
      <c r="C4475" s="1" t="str">
        <f>IFERROR(__xludf.DUMMYFUNCTION("""COMPUTED_VALUE"""),"treatment")</f>
        <v>treatment</v>
      </c>
      <c r="D4475" s="1" t="str">
        <f>IFERROR(__xludf.DUMMYFUNCTION("""COMPUTED_VALUE"""),"new_page")</f>
        <v>new_page</v>
      </c>
      <c r="E4475" s="1">
        <f>IFERROR(__xludf.DUMMYFUNCTION("""COMPUTED_VALUE"""),0.0)</f>
        <v>0</v>
      </c>
    </row>
    <row r="4476">
      <c r="A4476" s="1">
        <f>IFERROR(__xludf.DUMMYFUNCTION("""COMPUTED_VALUE"""),942872.0)</f>
        <v>942872</v>
      </c>
      <c r="B4476" s="2">
        <f>IFERROR(__xludf.DUMMYFUNCTION("""COMPUTED_VALUE"""),42759.56095490625)</f>
        <v>42759.56095</v>
      </c>
      <c r="C4476" s="1" t="str">
        <f>IFERROR(__xludf.DUMMYFUNCTION("""COMPUTED_VALUE"""),"treatment")</f>
        <v>treatment</v>
      </c>
      <c r="D4476" s="1" t="str">
        <f>IFERROR(__xludf.DUMMYFUNCTION("""COMPUTED_VALUE"""),"new_page")</f>
        <v>new_page</v>
      </c>
      <c r="E4476" s="1">
        <f>IFERROR(__xludf.DUMMYFUNCTION("""COMPUTED_VALUE"""),0.0)</f>
        <v>0</v>
      </c>
    </row>
    <row r="4477">
      <c r="A4477" s="1">
        <f>IFERROR(__xludf.DUMMYFUNCTION("""COMPUTED_VALUE"""),706878.0)</f>
        <v>706878</v>
      </c>
      <c r="B4477" s="2">
        <f>IFERROR(__xludf.DUMMYFUNCTION("""COMPUTED_VALUE"""),42744.856709804524)</f>
        <v>42744.85671</v>
      </c>
      <c r="C4477" s="1" t="str">
        <f>IFERROR(__xludf.DUMMYFUNCTION("""COMPUTED_VALUE"""),"treatment")</f>
        <v>treatment</v>
      </c>
      <c r="D4477" s="1" t="str">
        <f>IFERROR(__xludf.DUMMYFUNCTION("""COMPUTED_VALUE"""),"old_page")</f>
        <v>old_page</v>
      </c>
      <c r="E4477" s="1">
        <f>IFERROR(__xludf.DUMMYFUNCTION("""COMPUTED_VALUE"""),0.0)</f>
        <v>0</v>
      </c>
    </row>
    <row r="4478">
      <c r="A4478" s="1">
        <f>IFERROR(__xludf.DUMMYFUNCTION("""COMPUTED_VALUE"""),855868.0)</f>
        <v>855868</v>
      </c>
      <c r="B4478" s="2">
        <f>IFERROR(__xludf.DUMMYFUNCTION("""COMPUTED_VALUE"""),42738.1917492943)</f>
        <v>42738.19175</v>
      </c>
      <c r="C4478" s="1" t="str">
        <f>IFERROR(__xludf.DUMMYFUNCTION("""COMPUTED_VALUE"""),"control")</f>
        <v>control</v>
      </c>
      <c r="D4478" s="1" t="str">
        <f>IFERROR(__xludf.DUMMYFUNCTION("""COMPUTED_VALUE"""),"old_page")</f>
        <v>old_page</v>
      </c>
      <c r="E4478" s="1">
        <f>IFERROR(__xludf.DUMMYFUNCTION("""COMPUTED_VALUE"""),0.0)</f>
        <v>0</v>
      </c>
    </row>
    <row r="4479">
      <c r="A4479" s="1">
        <f>IFERROR(__xludf.DUMMYFUNCTION("""COMPUTED_VALUE"""),725358.0)</f>
        <v>725358</v>
      </c>
      <c r="B4479" s="2">
        <f>IFERROR(__xludf.DUMMYFUNCTION("""COMPUTED_VALUE"""),42739.16568106926)</f>
        <v>42739.16568</v>
      </c>
      <c r="C4479" s="1" t="str">
        <f>IFERROR(__xludf.DUMMYFUNCTION("""COMPUTED_VALUE"""),"control")</f>
        <v>control</v>
      </c>
      <c r="D4479" s="1" t="str">
        <f>IFERROR(__xludf.DUMMYFUNCTION("""COMPUTED_VALUE"""),"old_page")</f>
        <v>old_page</v>
      </c>
      <c r="E4479" s="1">
        <f>IFERROR(__xludf.DUMMYFUNCTION("""COMPUTED_VALUE"""),0.0)</f>
        <v>0</v>
      </c>
    </row>
    <row r="4480">
      <c r="A4480" s="1">
        <f>IFERROR(__xludf.DUMMYFUNCTION("""COMPUTED_VALUE"""),714826.0)</f>
        <v>714826</v>
      </c>
      <c r="B4480" s="2">
        <f>IFERROR(__xludf.DUMMYFUNCTION("""COMPUTED_VALUE"""),42740.34717161565)</f>
        <v>42740.34717</v>
      </c>
      <c r="C4480" s="1" t="str">
        <f>IFERROR(__xludf.DUMMYFUNCTION("""COMPUTED_VALUE"""),"treatment")</f>
        <v>treatment</v>
      </c>
      <c r="D4480" s="1" t="str">
        <f>IFERROR(__xludf.DUMMYFUNCTION("""COMPUTED_VALUE"""),"new_page")</f>
        <v>new_page</v>
      </c>
      <c r="E4480" s="1">
        <f>IFERROR(__xludf.DUMMYFUNCTION("""COMPUTED_VALUE"""),0.0)</f>
        <v>0</v>
      </c>
    </row>
    <row r="4481">
      <c r="A4481" s="1">
        <f>IFERROR(__xludf.DUMMYFUNCTION("""COMPUTED_VALUE"""),797722.0)</f>
        <v>797722</v>
      </c>
      <c r="B4481" s="2">
        <f>IFERROR(__xludf.DUMMYFUNCTION("""COMPUTED_VALUE"""),42748.29306781009)</f>
        <v>42748.29307</v>
      </c>
      <c r="C4481" s="1" t="str">
        <f>IFERROR(__xludf.DUMMYFUNCTION("""COMPUTED_VALUE"""),"treatment")</f>
        <v>treatment</v>
      </c>
      <c r="D4481" s="1" t="str">
        <f>IFERROR(__xludf.DUMMYFUNCTION("""COMPUTED_VALUE"""),"new_page")</f>
        <v>new_page</v>
      </c>
      <c r="E4481" s="1">
        <f>IFERROR(__xludf.DUMMYFUNCTION("""COMPUTED_VALUE"""),1.0)</f>
        <v>1</v>
      </c>
    </row>
    <row r="4482">
      <c r="A4482" s="1">
        <f>IFERROR(__xludf.DUMMYFUNCTION("""COMPUTED_VALUE"""),825348.0)</f>
        <v>825348</v>
      </c>
      <c r="B4482" s="2">
        <f>IFERROR(__xludf.DUMMYFUNCTION("""COMPUTED_VALUE"""),42748.86715885654)</f>
        <v>42748.86716</v>
      </c>
      <c r="C4482" s="1" t="str">
        <f>IFERROR(__xludf.DUMMYFUNCTION("""COMPUTED_VALUE"""),"treatment")</f>
        <v>treatment</v>
      </c>
      <c r="D4482" s="1" t="str">
        <f>IFERROR(__xludf.DUMMYFUNCTION("""COMPUTED_VALUE"""),"new_page")</f>
        <v>new_page</v>
      </c>
      <c r="E4482" s="1">
        <f>IFERROR(__xludf.DUMMYFUNCTION("""COMPUTED_VALUE"""),0.0)</f>
        <v>0</v>
      </c>
    </row>
    <row r="4483">
      <c r="A4483" s="1">
        <f>IFERROR(__xludf.DUMMYFUNCTION("""COMPUTED_VALUE"""),826607.0)</f>
        <v>826607</v>
      </c>
      <c r="B4483" s="2">
        <f>IFERROR(__xludf.DUMMYFUNCTION("""COMPUTED_VALUE"""),42758.01171444337)</f>
        <v>42758.01171</v>
      </c>
      <c r="C4483" s="1" t="str">
        <f>IFERROR(__xludf.DUMMYFUNCTION("""COMPUTED_VALUE"""),"treatment")</f>
        <v>treatment</v>
      </c>
      <c r="D4483" s="1" t="str">
        <f>IFERROR(__xludf.DUMMYFUNCTION("""COMPUTED_VALUE"""),"new_page")</f>
        <v>new_page</v>
      </c>
      <c r="E4483" s="1">
        <f>IFERROR(__xludf.DUMMYFUNCTION("""COMPUTED_VALUE"""),0.0)</f>
        <v>0</v>
      </c>
    </row>
    <row r="4484">
      <c r="A4484" s="1">
        <f>IFERROR(__xludf.DUMMYFUNCTION("""COMPUTED_VALUE"""),650083.0)</f>
        <v>650083</v>
      </c>
      <c r="B4484" s="2">
        <f>IFERROR(__xludf.DUMMYFUNCTION("""COMPUTED_VALUE"""),42740.42866405115)</f>
        <v>42740.42866</v>
      </c>
      <c r="C4484" s="1" t="str">
        <f>IFERROR(__xludf.DUMMYFUNCTION("""COMPUTED_VALUE"""),"control")</f>
        <v>control</v>
      </c>
      <c r="D4484" s="1" t="str">
        <f>IFERROR(__xludf.DUMMYFUNCTION("""COMPUTED_VALUE"""),"old_page")</f>
        <v>old_page</v>
      </c>
      <c r="E4484" s="1">
        <f>IFERROR(__xludf.DUMMYFUNCTION("""COMPUTED_VALUE"""),0.0)</f>
        <v>0</v>
      </c>
    </row>
    <row r="4485">
      <c r="A4485" s="1">
        <f>IFERROR(__xludf.DUMMYFUNCTION("""COMPUTED_VALUE"""),887640.0)</f>
        <v>887640</v>
      </c>
      <c r="B4485" s="2">
        <f>IFERROR(__xludf.DUMMYFUNCTION("""COMPUTED_VALUE"""),42739.07458187756)</f>
        <v>42739.07458</v>
      </c>
      <c r="C4485" s="1" t="str">
        <f>IFERROR(__xludf.DUMMYFUNCTION("""COMPUTED_VALUE"""),"treatment")</f>
        <v>treatment</v>
      </c>
      <c r="D4485" s="1" t="str">
        <f>IFERROR(__xludf.DUMMYFUNCTION("""COMPUTED_VALUE"""),"new_page")</f>
        <v>new_page</v>
      </c>
      <c r="E4485" s="1">
        <f>IFERROR(__xludf.DUMMYFUNCTION("""COMPUTED_VALUE"""),1.0)</f>
        <v>1</v>
      </c>
    </row>
    <row r="4486">
      <c r="A4486" s="1">
        <f>IFERROR(__xludf.DUMMYFUNCTION("""COMPUTED_VALUE"""),930179.0)</f>
        <v>930179</v>
      </c>
      <c r="B4486" s="2">
        <f>IFERROR(__xludf.DUMMYFUNCTION("""COMPUTED_VALUE"""),42739.32048561129)</f>
        <v>42739.32049</v>
      </c>
      <c r="C4486" s="1" t="str">
        <f>IFERROR(__xludf.DUMMYFUNCTION("""COMPUTED_VALUE"""),"control")</f>
        <v>control</v>
      </c>
      <c r="D4486" s="1" t="str">
        <f>IFERROR(__xludf.DUMMYFUNCTION("""COMPUTED_VALUE"""),"old_page")</f>
        <v>old_page</v>
      </c>
      <c r="E4486" s="1">
        <f>IFERROR(__xludf.DUMMYFUNCTION("""COMPUTED_VALUE"""),0.0)</f>
        <v>0</v>
      </c>
    </row>
    <row r="4487">
      <c r="A4487" s="1">
        <f>IFERROR(__xludf.DUMMYFUNCTION("""COMPUTED_VALUE"""),838568.0)</f>
        <v>838568</v>
      </c>
      <c r="B4487" s="2">
        <f>IFERROR(__xludf.DUMMYFUNCTION("""COMPUTED_VALUE"""),42750.168209928204)</f>
        <v>42750.16821</v>
      </c>
      <c r="C4487" s="1" t="str">
        <f>IFERROR(__xludf.DUMMYFUNCTION("""COMPUTED_VALUE"""),"control")</f>
        <v>control</v>
      </c>
      <c r="D4487" s="1" t="str">
        <f>IFERROR(__xludf.DUMMYFUNCTION("""COMPUTED_VALUE"""),"new_page")</f>
        <v>new_page</v>
      </c>
      <c r="E4487" s="1">
        <f>IFERROR(__xludf.DUMMYFUNCTION("""COMPUTED_VALUE"""),0.0)</f>
        <v>0</v>
      </c>
    </row>
    <row r="4488">
      <c r="A4488" s="1">
        <f>IFERROR(__xludf.DUMMYFUNCTION("""COMPUTED_VALUE"""),871458.0)</f>
        <v>871458</v>
      </c>
      <c r="B4488" s="2">
        <f>IFERROR(__xludf.DUMMYFUNCTION("""COMPUTED_VALUE"""),42748.1535149987)</f>
        <v>42748.15351</v>
      </c>
      <c r="C4488" s="1" t="str">
        <f>IFERROR(__xludf.DUMMYFUNCTION("""COMPUTED_VALUE"""),"treatment")</f>
        <v>treatment</v>
      </c>
      <c r="D4488" s="1" t="str">
        <f>IFERROR(__xludf.DUMMYFUNCTION("""COMPUTED_VALUE"""),"new_page")</f>
        <v>new_page</v>
      </c>
      <c r="E4488" s="1">
        <f>IFERROR(__xludf.DUMMYFUNCTION("""COMPUTED_VALUE"""),0.0)</f>
        <v>0</v>
      </c>
    </row>
    <row r="4489">
      <c r="A4489" s="1">
        <f>IFERROR(__xludf.DUMMYFUNCTION("""COMPUTED_VALUE"""),678965.0)</f>
        <v>678965</v>
      </c>
      <c r="B4489" s="2">
        <f>IFERROR(__xludf.DUMMYFUNCTION("""COMPUTED_VALUE"""),42739.40791681699)</f>
        <v>42739.40792</v>
      </c>
      <c r="C4489" s="1" t="str">
        <f>IFERROR(__xludf.DUMMYFUNCTION("""COMPUTED_VALUE"""),"control")</f>
        <v>control</v>
      </c>
      <c r="D4489" s="1" t="str">
        <f>IFERROR(__xludf.DUMMYFUNCTION("""COMPUTED_VALUE"""),"old_page")</f>
        <v>old_page</v>
      </c>
      <c r="E4489" s="1">
        <f>IFERROR(__xludf.DUMMYFUNCTION("""COMPUTED_VALUE"""),1.0)</f>
        <v>1</v>
      </c>
    </row>
    <row r="4490">
      <c r="A4490" s="1">
        <f>IFERROR(__xludf.DUMMYFUNCTION("""COMPUTED_VALUE"""),796012.0)</f>
        <v>796012</v>
      </c>
      <c r="B4490" s="2">
        <f>IFERROR(__xludf.DUMMYFUNCTION("""COMPUTED_VALUE"""),42742.20928851564)</f>
        <v>42742.20929</v>
      </c>
      <c r="C4490" s="1" t="str">
        <f>IFERROR(__xludf.DUMMYFUNCTION("""COMPUTED_VALUE"""),"control")</f>
        <v>control</v>
      </c>
      <c r="D4490" s="1" t="str">
        <f>IFERROR(__xludf.DUMMYFUNCTION("""COMPUTED_VALUE"""),"old_page")</f>
        <v>old_page</v>
      </c>
      <c r="E4490" s="1">
        <f>IFERROR(__xludf.DUMMYFUNCTION("""COMPUTED_VALUE"""),0.0)</f>
        <v>0</v>
      </c>
    </row>
    <row r="4491">
      <c r="A4491" s="1">
        <f>IFERROR(__xludf.DUMMYFUNCTION("""COMPUTED_VALUE"""),876896.0)</f>
        <v>876896</v>
      </c>
      <c r="B4491" s="2">
        <f>IFERROR(__xludf.DUMMYFUNCTION("""COMPUTED_VALUE"""),42755.97924843364)</f>
        <v>42755.97925</v>
      </c>
      <c r="C4491" s="1" t="str">
        <f>IFERROR(__xludf.DUMMYFUNCTION("""COMPUTED_VALUE"""),"treatment")</f>
        <v>treatment</v>
      </c>
      <c r="D4491" s="1" t="str">
        <f>IFERROR(__xludf.DUMMYFUNCTION("""COMPUTED_VALUE"""),"new_page")</f>
        <v>new_page</v>
      </c>
      <c r="E4491" s="1">
        <f>IFERROR(__xludf.DUMMYFUNCTION("""COMPUTED_VALUE"""),1.0)</f>
        <v>1</v>
      </c>
    </row>
    <row r="4492">
      <c r="A4492" s="1">
        <f>IFERROR(__xludf.DUMMYFUNCTION("""COMPUTED_VALUE"""),765828.0)</f>
        <v>765828</v>
      </c>
      <c r="B4492" s="2">
        <f>IFERROR(__xludf.DUMMYFUNCTION("""COMPUTED_VALUE"""),42749.672250015996)</f>
        <v>42749.67225</v>
      </c>
      <c r="C4492" s="1" t="str">
        <f>IFERROR(__xludf.DUMMYFUNCTION("""COMPUTED_VALUE"""),"control")</f>
        <v>control</v>
      </c>
      <c r="D4492" s="1" t="str">
        <f>IFERROR(__xludf.DUMMYFUNCTION("""COMPUTED_VALUE"""),"old_page")</f>
        <v>old_page</v>
      </c>
      <c r="E4492" s="1">
        <f>IFERROR(__xludf.DUMMYFUNCTION("""COMPUTED_VALUE"""),0.0)</f>
        <v>0</v>
      </c>
    </row>
    <row r="4493">
      <c r="A4493" s="1">
        <f>IFERROR(__xludf.DUMMYFUNCTION("""COMPUTED_VALUE"""),922950.0)</f>
        <v>922950</v>
      </c>
      <c r="B4493" s="2">
        <f>IFERROR(__xludf.DUMMYFUNCTION("""COMPUTED_VALUE"""),42740.88315748274)</f>
        <v>42740.88316</v>
      </c>
      <c r="C4493" s="1" t="str">
        <f>IFERROR(__xludf.DUMMYFUNCTION("""COMPUTED_VALUE"""),"treatment")</f>
        <v>treatment</v>
      </c>
      <c r="D4493" s="1" t="str">
        <f>IFERROR(__xludf.DUMMYFUNCTION("""COMPUTED_VALUE"""),"new_page")</f>
        <v>new_page</v>
      </c>
      <c r="E4493" s="1">
        <f>IFERROR(__xludf.DUMMYFUNCTION("""COMPUTED_VALUE"""),0.0)</f>
        <v>0</v>
      </c>
    </row>
    <row r="4494">
      <c r="A4494" s="1">
        <f>IFERROR(__xludf.DUMMYFUNCTION("""COMPUTED_VALUE"""),900545.0)</f>
        <v>900545</v>
      </c>
      <c r="B4494" s="2">
        <f>IFERROR(__xludf.DUMMYFUNCTION("""COMPUTED_VALUE"""),42754.61575421558)</f>
        <v>42754.61575</v>
      </c>
      <c r="C4494" s="1" t="str">
        <f>IFERROR(__xludf.DUMMYFUNCTION("""COMPUTED_VALUE"""),"control")</f>
        <v>control</v>
      </c>
      <c r="D4494" s="1" t="str">
        <f>IFERROR(__xludf.DUMMYFUNCTION("""COMPUTED_VALUE"""),"old_page")</f>
        <v>old_page</v>
      </c>
      <c r="E4494" s="1">
        <f>IFERROR(__xludf.DUMMYFUNCTION("""COMPUTED_VALUE"""),0.0)</f>
        <v>0</v>
      </c>
    </row>
    <row r="4495">
      <c r="A4495" s="1">
        <f>IFERROR(__xludf.DUMMYFUNCTION("""COMPUTED_VALUE"""),835910.0)</f>
        <v>835910</v>
      </c>
      <c r="B4495" s="2">
        <f>IFERROR(__xludf.DUMMYFUNCTION("""COMPUTED_VALUE"""),42753.31348600948)</f>
        <v>42753.31349</v>
      </c>
      <c r="C4495" s="1" t="str">
        <f>IFERROR(__xludf.DUMMYFUNCTION("""COMPUTED_VALUE"""),"treatment")</f>
        <v>treatment</v>
      </c>
      <c r="D4495" s="1" t="str">
        <f>IFERROR(__xludf.DUMMYFUNCTION("""COMPUTED_VALUE"""),"new_page")</f>
        <v>new_page</v>
      </c>
      <c r="E4495" s="1">
        <f>IFERROR(__xludf.DUMMYFUNCTION("""COMPUTED_VALUE"""),0.0)</f>
        <v>0</v>
      </c>
    </row>
    <row r="4496">
      <c r="A4496" s="1">
        <f>IFERROR(__xludf.DUMMYFUNCTION("""COMPUTED_VALUE"""),657707.0)</f>
        <v>657707</v>
      </c>
      <c r="B4496" s="2">
        <f>IFERROR(__xludf.DUMMYFUNCTION("""COMPUTED_VALUE"""),42757.39663963125)</f>
        <v>42757.39664</v>
      </c>
      <c r="C4496" s="1" t="str">
        <f>IFERROR(__xludf.DUMMYFUNCTION("""COMPUTED_VALUE"""),"treatment")</f>
        <v>treatment</v>
      </c>
      <c r="D4496" s="1" t="str">
        <f>IFERROR(__xludf.DUMMYFUNCTION("""COMPUTED_VALUE"""),"new_page")</f>
        <v>new_page</v>
      </c>
      <c r="E4496" s="1">
        <f>IFERROR(__xludf.DUMMYFUNCTION("""COMPUTED_VALUE"""),1.0)</f>
        <v>1</v>
      </c>
    </row>
    <row r="4497">
      <c r="A4497" s="1">
        <f>IFERROR(__xludf.DUMMYFUNCTION("""COMPUTED_VALUE"""),897783.0)</f>
        <v>897783</v>
      </c>
      <c r="B4497" s="2">
        <f>IFERROR(__xludf.DUMMYFUNCTION("""COMPUTED_VALUE"""),42741.701329719246)</f>
        <v>42741.70133</v>
      </c>
      <c r="C4497" s="1" t="str">
        <f>IFERROR(__xludf.DUMMYFUNCTION("""COMPUTED_VALUE"""),"control")</f>
        <v>control</v>
      </c>
      <c r="D4497" s="1" t="str">
        <f>IFERROR(__xludf.DUMMYFUNCTION("""COMPUTED_VALUE"""),"old_page")</f>
        <v>old_page</v>
      </c>
      <c r="E4497" s="1">
        <f>IFERROR(__xludf.DUMMYFUNCTION("""COMPUTED_VALUE"""),0.0)</f>
        <v>0</v>
      </c>
    </row>
    <row r="4498">
      <c r="A4498" s="1">
        <f>IFERROR(__xludf.DUMMYFUNCTION("""COMPUTED_VALUE"""),918098.0)</f>
        <v>918098</v>
      </c>
      <c r="B4498" s="2">
        <f>IFERROR(__xludf.DUMMYFUNCTION("""COMPUTED_VALUE"""),42752.09288787677)</f>
        <v>42752.09289</v>
      </c>
      <c r="C4498" s="1" t="str">
        <f>IFERROR(__xludf.DUMMYFUNCTION("""COMPUTED_VALUE"""),"treatment")</f>
        <v>treatment</v>
      </c>
      <c r="D4498" s="1" t="str">
        <f>IFERROR(__xludf.DUMMYFUNCTION("""COMPUTED_VALUE"""),"new_page")</f>
        <v>new_page</v>
      </c>
      <c r="E4498" s="1">
        <f>IFERROR(__xludf.DUMMYFUNCTION("""COMPUTED_VALUE"""),0.0)</f>
        <v>0</v>
      </c>
    </row>
    <row r="4499">
      <c r="A4499" s="1">
        <f>IFERROR(__xludf.DUMMYFUNCTION("""COMPUTED_VALUE"""),748680.0)</f>
        <v>748680</v>
      </c>
      <c r="B4499" s="2">
        <f>IFERROR(__xludf.DUMMYFUNCTION("""COMPUTED_VALUE"""),42757.17130464397)</f>
        <v>42757.1713</v>
      </c>
      <c r="C4499" s="1" t="str">
        <f>IFERROR(__xludf.DUMMYFUNCTION("""COMPUTED_VALUE"""),"control")</f>
        <v>control</v>
      </c>
      <c r="D4499" s="1" t="str">
        <f>IFERROR(__xludf.DUMMYFUNCTION("""COMPUTED_VALUE"""),"old_page")</f>
        <v>old_page</v>
      </c>
      <c r="E4499" s="1">
        <f>IFERROR(__xludf.DUMMYFUNCTION("""COMPUTED_VALUE"""),0.0)</f>
        <v>0</v>
      </c>
    </row>
    <row r="4500">
      <c r="A4500" s="1">
        <f>IFERROR(__xludf.DUMMYFUNCTION("""COMPUTED_VALUE"""),805179.0)</f>
        <v>805179</v>
      </c>
      <c r="B4500" s="2">
        <f>IFERROR(__xludf.DUMMYFUNCTION("""COMPUTED_VALUE"""),42739.556879460535)</f>
        <v>42739.55688</v>
      </c>
      <c r="C4500" s="1" t="str">
        <f>IFERROR(__xludf.DUMMYFUNCTION("""COMPUTED_VALUE"""),"control")</f>
        <v>control</v>
      </c>
      <c r="D4500" s="1" t="str">
        <f>IFERROR(__xludf.DUMMYFUNCTION("""COMPUTED_VALUE"""),"old_page")</f>
        <v>old_page</v>
      </c>
      <c r="E4500" s="1">
        <f>IFERROR(__xludf.DUMMYFUNCTION("""COMPUTED_VALUE"""),0.0)</f>
        <v>0</v>
      </c>
    </row>
    <row r="4501">
      <c r="A4501" s="1">
        <f>IFERROR(__xludf.DUMMYFUNCTION("""COMPUTED_VALUE"""),693964.0)</f>
        <v>693964</v>
      </c>
      <c r="B4501" s="2">
        <f>IFERROR(__xludf.DUMMYFUNCTION("""COMPUTED_VALUE"""),42748.68317068874)</f>
        <v>42748.68317</v>
      </c>
      <c r="C4501" s="1" t="str">
        <f>IFERROR(__xludf.DUMMYFUNCTION("""COMPUTED_VALUE"""),"control")</f>
        <v>control</v>
      </c>
      <c r="D4501" s="1" t="str">
        <f>IFERROR(__xludf.DUMMYFUNCTION("""COMPUTED_VALUE"""),"old_page")</f>
        <v>old_page</v>
      </c>
      <c r="E4501" s="1">
        <f>IFERROR(__xludf.DUMMYFUNCTION("""COMPUTED_VALUE"""),0.0)</f>
        <v>0</v>
      </c>
    </row>
    <row r="4502">
      <c r="A4502" s="1">
        <f>IFERROR(__xludf.DUMMYFUNCTION("""COMPUTED_VALUE"""),717923.0)</f>
        <v>717923</v>
      </c>
      <c r="B4502" s="2">
        <f>IFERROR(__xludf.DUMMYFUNCTION("""COMPUTED_VALUE"""),42738.10645986852)</f>
        <v>42738.10646</v>
      </c>
      <c r="C4502" s="1" t="str">
        <f>IFERROR(__xludf.DUMMYFUNCTION("""COMPUTED_VALUE"""),"treatment")</f>
        <v>treatment</v>
      </c>
      <c r="D4502" s="1" t="str">
        <f>IFERROR(__xludf.DUMMYFUNCTION("""COMPUTED_VALUE"""),"new_page")</f>
        <v>new_page</v>
      </c>
      <c r="E4502" s="1">
        <f>IFERROR(__xludf.DUMMYFUNCTION("""COMPUTED_VALUE"""),0.0)</f>
        <v>0</v>
      </c>
    </row>
    <row r="4503">
      <c r="A4503" s="1">
        <f>IFERROR(__xludf.DUMMYFUNCTION("""COMPUTED_VALUE"""),921463.0)</f>
        <v>921463</v>
      </c>
      <c r="B4503" s="2">
        <f>IFERROR(__xludf.DUMMYFUNCTION("""COMPUTED_VALUE"""),42741.995631831844)</f>
        <v>42741.99563</v>
      </c>
      <c r="C4503" s="1" t="str">
        <f>IFERROR(__xludf.DUMMYFUNCTION("""COMPUTED_VALUE"""),"control")</f>
        <v>control</v>
      </c>
      <c r="D4503" s="1" t="str">
        <f>IFERROR(__xludf.DUMMYFUNCTION("""COMPUTED_VALUE"""),"old_page")</f>
        <v>old_page</v>
      </c>
      <c r="E4503" s="1">
        <f>IFERROR(__xludf.DUMMYFUNCTION("""COMPUTED_VALUE"""),1.0)</f>
        <v>1</v>
      </c>
    </row>
    <row r="4504">
      <c r="A4504" s="1">
        <f>IFERROR(__xludf.DUMMYFUNCTION("""COMPUTED_VALUE"""),661521.0)</f>
        <v>661521</v>
      </c>
      <c r="B4504" s="2">
        <f>IFERROR(__xludf.DUMMYFUNCTION("""COMPUTED_VALUE"""),42750.99373779832)</f>
        <v>42750.99374</v>
      </c>
      <c r="C4504" s="1" t="str">
        <f>IFERROR(__xludf.DUMMYFUNCTION("""COMPUTED_VALUE"""),"control")</f>
        <v>control</v>
      </c>
      <c r="D4504" s="1" t="str">
        <f>IFERROR(__xludf.DUMMYFUNCTION("""COMPUTED_VALUE"""),"old_page")</f>
        <v>old_page</v>
      </c>
      <c r="E4504" s="1">
        <f>IFERROR(__xludf.DUMMYFUNCTION("""COMPUTED_VALUE"""),1.0)</f>
        <v>1</v>
      </c>
    </row>
    <row r="4505">
      <c r="A4505" s="1">
        <f>IFERROR(__xludf.DUMMYFUNCTION("""COMPUTED_VALUE"""),867517.0)</f>
        <v>867517</v>
      </c>
      <c r="B4505" s="2">
        <f>IFERROR(__xludf.DUMMYFUNCTION("""COMPUTED_VALUE"""),42739.25433334119)</f>
        <v>42739.25433</v>
      </c>
      <c r="C4505" s="1" t="str">
        <f>IFERROR(__xludf.DUMMYFUNCTION("""COMPUTED_VALUE"""),"treatment")</f>
        <v>treatment</v>
      </c>
      <c r="D4505" s="1" t="str">
        <f>IFERROR(__xludf.DUMMYFUNCTION("""COMPUTED_VALUE"""),"new_page")</f>
        <v>new_page</v>
      </c>
      <c r="E4505" s="1">
        <f>IFERROR(__xludf.DUMMYFUNCTION("""COMPUTED_VALUE"""),0.0)</f>
        <v>0</v>
      </c>
    </row>
    <row r="4506">
      <c r="A4506" s="1">
        <f>IFERROR(__xludf.DUMMYFUNCTION("""COMPUTED_VALUE"""),805662.0)</f>
        <v>805662</v>
      </c>
      <c r="B4506" s="2">
        <f>IFERROR(__xludf.DUMMYFUNCTION("""COMPUTED_VALUE"""),42759.01903135895)</f>
        <v>42759.01903</v>
      </c>
      <c r="C4506" s="1" t="str">
        <f>IFERROR(__xludf.DUMMYFUNCTION("""COMPUTED_VALUE"""),"control")</f>
        <v>control</v>
      </c>
      <c r="D4506" s="1" t="str">
        <f>IFERROR(__xludf.DUMMYFUNCTION("""COMPUTED_VALUE"""),"old_page")</f>
        <v>old_page</v>
      </c>
      <c r="E4506" s="1">
        <f>IFERROR(__xludf.DUMMYFUNCTION("""COMPUTED_VALUE"""),0.0)</f>
        <v>0</v>
      </c>
    </row>
    <row r="4507">
      <c r="A4507" s="1">
        <f>IFERROR(__xludf.DUMMYFUNCTION("""COMPUTED_VALUE"""),643994.0)</f>
        <v>643994</v>
      </c>
      <c r="B4507" s="2">
        <f>IFERROR(__xludf.DUMMYFUNCTION("""COMPUTED_VALUE"""),42739.11815436506)</f>
        <v>42739.11815</v>
      </c>
      <c r="C4507" s="1" t="str">
        <f>IFERROR(__xludf.DUMMYFUNCTION("""COMPUTED_VALUE"""),"control")</f>
        <v>control</v>
      </c>
      <c r="D4507" s="1" t="str">
        <f>IFERROR(__xludf.DUMMYFUNCTION("""COMPUTED_VALUE"""),"old_page")</f>
        <v>old_page</v>
      </c>
      <c r="E4507" s="1">
        <f>IFERROR(__xludf.DUMMYFUNCTION("""COMPUTED_VALUE"""),0.0)</f>
        <v>0</v>
      </c>
    </row>
    <row r="4508">
      <c r="A4508" s="1">
        <f>IFERROR(__xludf.DUMMYFUNCTION("""COMPUTED_VALUE"""),745098.0)</f>
        <v>745098</v>
      </c>
      <c r="B4508" s="2">
        <f>IFERROR(__xludf.DUMMYFUNCTION("""COMPUTED_VALUE"""),42745.227705885765)</f>
        <v>42745.22771</v>
      </c>
      <c r="C4508" s="1" t="str">
        <f>IFERROR(__xludf.DUMMYFUNCTION("""COMPUTED_VALUE"""),"control")</f>
        <v>control</v>
      </c>
      <c r="D4508" s="1" t="str">
        <f>IFERROR(__xludf.DUMMYFUNCTION("""COMPUTED_VALUE"""),"old_page")</f>
        <v>old_page</v>
      </c>
      <c r="E4508" s="1">
        <f>IFERROR(__xludf.DUMMYFUNCTION("""COMPUTED_VALUE"""),0.0)</f>
        <v>0</v>
      </c>
    </row>
    <row r="4509">
      <c r="A4509" s="1">
        <f>IFERROR(__xludf.DUMMYFUNCTION("""COMPUTED_VALUE"""),648256.0)</f>
        <v>648256</v>
      </c>
      <c r="B4509" s="2">
        <f>IFERROR(__xludf.DUMMYFUNCTION("""COMPUTED_VALUE"""),42757.02876729615)</f>
        <v>42757.02877</v>
      </c>
      <c r="C4509" s="1" t="str">
        <f>IFERROR(__xludf.DUMMYFUNCTION("""COMPUTED_VALUE"""),"control")</f>
        <v>control</v>
      </c>
      <c r="D4509" s="1" t="str">
        <f>IFERROR(__xludf.DUMMYFUNCTION("""COMPUTED_VALUE"""),"old_page")</f>
        <v>old_page</v>
      </c>
      <c r="E4509" s="1">
        <f>IFERROR(__xludf.DUMMYFUNCTION("""COMPUTED_VALUE"""),0.0)</f>
        <v>0</v>
      </c>
    </row>
    <row r="4510">
      <c r="A4510" s="1">
        <f>IFERROR(__xludf.DUMMYFUNCTION("""COMPUTED_VALUE"""),795695.0)</f>
        <v>795695</v>
      </c>
      <c r="B4510" s="2">
        <f>IFERROR(__xludf.DUMMYFUNCTION("""COMPUTED_VALUE"""),42758.417158921955)</f>
        <v>42758.41716</v>
      </c>
      <c r="C4510" s="1" t="str">
        <f>IFERROR(__xludf.DUMMYFUNCTION("""COMPUTED_VALUE"""),"treatment")</f>
        <v>treatment</v>
      </c>
      <c r="D4510" s="1" t="str">
        <f>IFERROR(__xludf.DUMMYFUNCTION("""COMPUTED_VALUE"""),"new_page")</f>
        <v>new_page</v>
      </c>
      <c r="E4510" s="1">
        <f>IFERROR(__xludf.DUMMYFUNCTION("""COMPUTED_VALUE"""),0.0)</f>
        <v>0</v>
      </c>
    </row>
    <row r="4511">
      <c r="A4511" s="1">
        <f>IFERROR(__xludf.DUMMYFUNCTION("""COMPUTED_VALUE"""),784287.0)</f>
        <v>784287</v>
      </c>
      <c r="B4511" s="2">
        <f>IFERROR(__xludf.DUMMYFUNCTION("""COMPUTED_VALUE"""),42751.80230387168)</f>
        <v>42751.8023</v>
      </c>
      <c r="C4511" s="1" t="str">
        <f>IFERROR(__xludf.DUMMYFUNCTION("""COMPUTED_VALUE"""),"treatment")</f>
        <v>treatment</v>
      </c>
      <c r="D4511" s="1" t="str">
        <f>IFERROR(__xludf.DUMMYFUNCTION("""COMPUTED_VALUE"""),"new_page")</f>
        <v>new_page</v>
      </c>
      <c r="E4511" s="1">
        <f>IFERROR(__xludf.DUMMYFUNCTION("""COMPUTED_VALUE"""),1.0)</f>
        <v>1</v>
      </c>
    </row>
    <row r="4512">
      <c r="A4512" s="1">
        <f>IFERROR(__xludf.DUMMYFUNCTION("""COMPUTED_VALUE"""),878887.0)</f>
        <v>878887</v>
      </c>
      <c r="B4512" s="2">
        <f>IFERROR(__xludf.DUMMYFUNCTION("""COMPUTED_VALUE"""),42753.75641690867)</f>
        <v>42753.75642</v>
      </c>
      <c r="C4512" s="1" t="str">
        <f>IFERROR(__xludf.DUMMYFUNCTION("""COMPUTED_VALUE"""),"treatment")</f>
        <v>treatment</v>
      </c>
      <c r="D4512" s="1" t="str">
        <f>IFERROR(__xludf.DUMMYFUNCTION("""COMPUTED_VALUE"""),"new_page")</f>
        <v>new_page</v>
      </c>
      <c r="E4512" s="1">
        <f>IFERROR(__xludf.DUMMYFUNCTION("""COMPUTED_VALUE"""),0.0)</f>
        <v>0</v>
      </c>
    </row>
    <row r="4513">
      <c r="A4513" s="1">
        <f>IFERROR(__xludf.DUMMYFUNCTION("""COMPUTED_VALUE"""),639705.0)</f>
        <v>639705</v>
      </c>
      <c r="B4513" s="2">
        <f>IFERROR(__xludf.DUMMYFUNCTION("""COMPUTED_VALUE"""),42754.030668981344)</f>
        <v>42754.03067</v>
      </c>
      <c r="C4513" s="1" t="str">
        <f>IFERROR(__xludf.DUMMYFUNCTION("""COMPUTED_VALUE"""),"control")</f>
        <v>control</v>
      </c>
      <c r="D4513" s="1" t="str">
        <f>IFERROR(__xludf.DUMMYFUNCTION("""COMPUTED_VALUE"""),"old_page")</f>
        <v>old_page</v>
      </c>
      <c r="E4513" s="1">
        <f>IFERROR(__xludf.DUMMYFUNCTION("""COMPUTED_VALUE"""),0.0)</f>
        <v>0</v>
      </c>
    </row>
    <row r="4514">
      <c r="A4514" s="1">
        <f>IFERROR(__xludf.DUMMYFUNCTION("""COMPUTED_VALUE"""),863009.0)</f>
        <v>863009</v>
      </c>
      <c r="B4514" s="2">
        <f>IFERROR(__xludf.DUMMYFUNCTION("""COMPUTED_VALUE"""),42741.418260926075)</f>
        <v>42741.41826</v>
      </c>
      <c r="C4514" s="1" t="str">
        <f>IFERROR(__xludf.DUMMYFUNCTION("""COMPUTED_VALUE"""),"treatment")</f>
        <v>treatment</v>
      </c>
      <c r="D4514" s="1" t="str">
        <f>IFERROR(__xludf.DUMMYFUNCTION("""COMPUTED_VALUE"""),"new_page")</f>
        <v>new_page</v>
      </c>
      <c r="E4514" s="1">
        <f>IFERROR(__xludf.DUMMYFUNCTION("""COMPUTED_VALUE"""),0.0)</f>
        <v>0</v>
      </c>
    </row>
    <row r="4515">
      <c r="A4515" s="1">
        <f>IFERROR(__xludf.DUMMYFUNCTION("""COMPUTED_VALUE"""),775385.0)</f>
        <v>775385</v>
      </c>
      <c r="B4515" s="2">
        <f>IFERROR(__xludf.DUMMYFUNCTION("""COMPUTED_VALUE"""),42741.08825388754)</f>
        <v>42741.08825</v>
      </c>
      <c r="C4515" s="1" t="str">
        <f>IFERROR(__xludf.DUMMYFUNCTION("""COMPUTED_VALUE"""),"control")</f>
        <v>control</v>
      </c>
      <c r="D4515" s="1" t="str">
        <f>IFERROR(__xludf.DUMMYFUNCTION("""COMPUTED_VALUE"""),"old_page")</f>
        <v>old_page</v>
      </c>
      <c r="E4515" s="1">
        <f>IFERROR(__xludf.DUMMYFUNCTION("""COMPUTED_VALUE"""),0.0)</f>
        <v>0</v>
      </c>
    </row>
    <row r="4516">
      <c r="A4516" s="1">
        <f>IFERROR(__xludf.DUMMYFUNCTION("""COMPUTED_VALUE"""),847577.0)</f>
        <v>847577</v>
      </c>
      <c r="B4516" s="2">
        <f>IFERROR(__xludf.DUMMYFUNCTION("""COMPUTED_VALUE"""),42756.288529537174)</f>
        <v>42756.28853</v>
      </c>
      <c r="C4516" s="1" t="str">
        <f>IFERROR(__xludf.DUMMYFUNCTION("""COMPUTED_VALUE"""),"treatment")</f>
        <v>treatment</v>
      </c>
      <c r="D4516" s="1" t="str">
        <f>IFERROR(__xludf.DUMMYFUNCTION("""COMPUTED_VALUE"""),"new_page")</f>
        <v>new_page</v>
      </c>
      <c r="E4516" s="1">
        <f>IFERROR(__xludf.DUMMYFUNCTION("""COMPUTED_VALUE"""),0.0)</f>
        <v>0</v>
      </c>
    </row>
    <row r="4517">
      <c r="A4517" s="1">
        <f>IFERROR(__xludf.DUMMYFUNCTION("""COMPUTED_VALUE"""),684041.0)</f>
        <v>684041</v>
      </c>
      <c r="B4517" s="2">
        <f>IFERROR(__xludf.DUMMYFUNCTION("""COMPUTED_VALUE"""),42750.89121900842)</f>
        <v>42750.89122</v>
      </c>
      <c r="C4517" s="1" t="str">
        <f>IFERROR(__xludf.DUMMYFUNCTION("""COMPUTED_VALUE"""),"control")</f>
        <v>control</v>
      </c>
      <c r="D4517" s="1" t="str">
        <f>IFERROR(__xludf.DUMMYFUNCTION("""COMPUTED_VALUE"""),"old_page")</f>
        <v>old_page</v>
      </c>
      <c r="E4517" s="1">
        <f>IFERROR(__xludf.DUMMYFUNCTION("""COMPUTED_VALUE"""),0.0)</f>
        <v>0</v>
      </c>
    </row>
    <row r="4518">
      <c r="A4518" s="1">
        <f>IFERROR(__xludf.DUMMYFUNCTION("""COMPUTED_VALUE"""),883120.0)</f>
        <v>883120</v>
      </c>
      <c r="B4518" s="2">
        <f>IFERROR(__xludf.DUMMYFUNCTION("""COMPUTED_VALUE"""),42754.68763440868)</f>
        <v>42754.68763</v>
      </c>
      <c r="C4518" s="1" t="str">
        <f>IFERROR(__xludf.DUMMYFUNCTION("""COMPUTED_VALUE"""),"control")</f>
        <v>control</v>
      </c>
      <c r="D4518" s="1" t="str">
        <f>IFERROR(__xludf.DUMMYFUNCTION("""COMPUTED_VALUE"""),"old_page")</f>
        <v>old_page</v>
      </c>
      <c r="E4518" s="1">
        <f>IFERROR(__xludf.DUMMYFUNCTION("""COMPUTED_VALUE"""),0.0)</f>
        <v>0</v>
      </c>
    </row>
    <row r="4519">
      <c r="A4519" s="1">
        <f>IFERROR(__xludf.DUMMYFUNCTION("""COMPUTED_VALUE"""),630617.0)</f>
        <v>630617</v>
      </c>
      <c r="B4519" s="2">
        <f>IFERROR(__xludf.DUMMYFUNCTION("""COMPUTED_VALUE"""),42744.1516136569)</f>
        <v>42744.15161</v>
      </c>
      <c r="C4519" s="1" t="str">
        <f>IFERROR(__xludf.DUMMYFUNCTION("""COMPUTED_VALUE"""),"treatment")</f>
        <v>treatment</v>
      </c>
      <c r="D4519" s="1" t="str">
        <f>IFERROR(__xludf.DUMMYFUNCTION("""COMPUTED_VALUE"""),"new_page")</f>
        <v>new_page</v>
      </c>
      <c r="E4519" s="1">
        <f>IFERROR(__xludf.DUMMYFUNCTION("""COMPUTED_VALUE"""),0.0)</f>
        <v>0</v>
      </c>
    </row>
    <row r="4520">
      <c r="A4520" s="1">
        <f>IFERROR(__xludf.DUMMYFUNCTION("""COMPUTED_VALUE"""),727159.0)</f>
        <v>727159</v>
      </c>
      <c r="B4520" s="2">
        <f>IFERROR(__xludf.DUMMYFUNCTION("""COMPUTED_VALUE"""),42746.899654870205)</f>
        <v>42746.89965</v>
      </c>
      <c r="C4520" s="1" t="str">
        <f>IFERROR(__xludf.DUMMYFUNCTION("""COMPUTED_VALUE"""),"control")</f>
        <v>control</v>
      </c>
      <c r="D4520" s="1" t="str">
        <f>IFERROR(__xludf.DUMMYFUNCTION("""COMPUTED_VALUE"""),"old_page")</f>
        <v>old_page</v>
      </c>
      <c r="E4520" s="1">
        <f>IFERROR(__xludf.DUMMYFUNCTION("""COMPUTED_VALUE"""),0.0)</f>
        <v>0</v>
      </c>
    </row>
    <row r="4521">
      <c r="A4521" s="1">
        <f>IFERROR(__xludf.DUMMYFUNCTION("""COMPUTED_VALUE"""),897212.0)</f>
        <v>897212</v>
      </c>
      <c r="B4521" s="2">
        <f>IFERROR(__xludf.DUMMYFUNCTION("""COMPUTED_VALUE"""),42746.51705559691)</f>
        <v>42746.51706</v>
      </c>
      <c r="C4521" s="1" t="str">
        <f>IFERROR(__xludf.DUMMYFUNCTION("""COMPUTED_VALUE"""),"control")</f>
        <v>control</v>
      </c>
      <c r="D4521" s="1" t="str">
        <f>IFERROR(__xludf.DUMMYFUNCTION("""COMPUTED_VALUE"""),"old_page")</f>
        <v>old_page</v>
      </c>
      <c r="E4521" s="1">
        <f>IFERROR(__xludf.DUMMYFUNCTION("""COMPUTED_VALUE"""),1.0)</f>
        <v>1</v>
      </c>
    </row>
    <row r="4522">
      <c r="A4522" s="1">
        <f>IFERROR(__xludf.DUMMYFUNCTION("""COMPUTED_VALUE"""),877064.0)</f>
        <v>877064</v>
      </c>
      <c r="B4522" s="2">
        <f>IFERROR(__xludf.DUMMYFUNCTION("""COMPUTED_VALUE"""),42758.19136367928)</f>
        <v>42758.19136</v>
      </c>
      <c r="C4522" s="1" t="str">
        <f>IFERROR(__xludf.DUMMYFUNCTION("""COMPUTED_VALUE"""),"control")</f>
        <v>control</v>
      </c>
      <c r="D4522" s="1" t="str">
        <f>IFERROR(__xludf.DUMMYFUNCTION("""COMPUTED_VALUE"""),"old_page")</f>
        <v>old_page</v>
      </c>
      <c r="E4522" s="1">
        <f>IFERROR(__xludf.DUMMYFUNCTION("""COMPUTED_VALUE"""),0.0)</f>
        <v>0</v>
      </c>
    </row>
    <row r="4523">
      <c r="A4523" s="1">
        <f>IFERROR(__xludf.DUMMYFUNCTION("""COMPUTED_VALUE"""),733802.0)</f>
        <v>733802</v>
      </c>
      <c r="B4523" s="2">
        <f>IFERROR(__xludf.DUMMYFUNCTION("""COMPUTED_VALUE"""),42746.773302716676)</f>
        <v>42746.7733</v>
      </c>
      <c r="C4523" s="1" t="str">
        <f>IFERROR(__xludf.DUMMYFUNCTION("""COMPUTED_VALUE"""),"control")</f>
        <v>control</v>
      </c>
      <c r="D4523" s="1" t="str">
        <f>IFERROR(__xludf.DUMMYFUNCTION("""COMPUTED_VALUE"""),"old_page")</f>
        <v>old_page</v>
      </c>
      <c r="E4523" s="1">
        <f>IFERROR(__xludf.DUMMYFUNCTION("""COMPUTED_VALUE"""),0.0)</f>
        <v>0</v>
      </c>
    </row>
    <row r="4524">
      <c r="A4524" s="1">
        <f>IFERROR(__xludf.DUMMYFUNCTION("""COMPUTED_VALUE"""),884781.0)</f>
        <v>884781</v>
      </c>
      <c r="B4524" s="2">
        <f>IFERROR(__xludf.DUMMYFUNCTION("""COMPUTED_VALUE"""),42744.68017439582)</f>
        <v>42744.68017</v>
      </c>
      <c r="C4524" s="1" t="str">
        <f>IFERROR(__xludf.DUMMYFUNCTION("""COMPUTED_VALUE"""),"control")</f>
        <v>control</v>
      </c>
      <c r="D4524" s="1" t="str">
        <f>IFERROR(__xludf.DUMMYFUNCTION("""COMPUTED_VALUE"""),"old_page")</f>
        <v>old_page</v>
      </c>
      <c r="E4524" s="1">
        <f>IFERROR(__xludf.DUMMYFUNCTION("""COMPUTED_VALUE"""),0.0)</f>
        <v>0</v>
      </c>
    </row>
    <row r="4525">
      <c r="A4525" s="1">
        <f>IFERROR(__xludf.DUMMYFUNCTION("""COMPUTED_VALUE"""),671009.0)</f>
        <v>671009</v>
      </c>
      <c r="B4525" s="2">
        <f>IFERROR(__xludf.DUMMYFUNCTION("""COMPUTED_VALUE"""),42751.57430124521)</f>
        <v>42751.5743</v>
      </c>
      <c r="C4525" s="1" t="str">
        <f>IFERROR(__xludf.DUMMYFUNCTION("""COMPUTED_VALUE"""),"control")</f>
        <v>control</v>
      </c>
      <c r="D4525" s="1" t="str">
        <f>IFERROR(__xludf.DUMMYFUNCTION("""COMPUTED_VALUE"""),"old_page")</f>
        <v>old_page</v>
      </c>
      <c r="E4525" s="1">
        <f>IFERROR(__xludf.DUMMYFUNCTION("""COMPUTED_VALUE"""),0.0)</f>
        <v>0</v>
      </c>
    </row>
    <row r="4526">
      <c r="A4526" s="1">
        <f>IFERROR(__xludf.DUMMYFUNCTION("""COMPUTED_VALUE"""),850809.0)</f>
        <v>850809</v>
      </c>
      <c r="B4526" s="2">
        <f>IFERROR(__xludf.DUMMYFUNCTION("""COMPUTED_VALUE"""),42753.77964086593)</f>
        <v>42753.77964</v>
      </c>
      <c r="C4526" s="1" t="str">
        <f>IFERROR(__xludf.DUMMYFUNCTION("""COMPUTED_VALUE"""),"treatment")</f>
        <v>treatment</v>
      </c>
      <c r="D4526" s="1" t="str">
        <f>IFERROR(__xludf.DUMMYFUNCTION("""COMPUTED_VALUE"""),"new_page")</f>
        <v>new_page</v>
      </c>
      <c r="E4526" s="1">
        <f>IFERROR(__xludf.DUMMYFUNCTION("""COMPUTED_VALUE"""),0.0)</f>
        <v>0</v>
      </c>
    </row>
    <row r="4527">
      <c r="A4527" s="1">
        <f>IFERROR(__xludf.DUMMYFUNCTION("""COMPUTED_VALUE"""),769171.0)</f>
        <v>769171</v>
      </c>
      <c r="B4527" s="2">
        <f>IFERROR(__xludf.DUMMYFUNCTION("""COMPUTED_VALUE"""),42755.38402470749)</f>
        <v>42755.38402</v>
      </c>
      <c r="C4527" s="1" t="str">
        <f>IFERROR(__xludf.DUMMYFUNCTION("""COMPUTED_VALUE"""),"control")</f>
        <v>control</v>
      </c>
      <c r="D4527" s="1" t="str">
        <f>IFERROR(__xludf.DUMMYFUNCTION("""COMPUTED_VALUE"""),"old_page")</f>
        <v>old_page</v>
      </c>
      <c r="E4527" s="1">
        <f>IFERROR(__xludf.DUMMYFUNCTION("""COMPUTED_VALUE"""),0.0)</f>
        <v>0</v>
      </c>
    </row>
    <row r="4528">
      <c r="A4528" s="1">
        <f>IFERROR(__xludf.DUMMYFUNCTION("""COMPUTED_VALUE"""),886301.0)</f>
        <v>886301</v>
      </c>
      <c r="B4528" s="2">
        <f>IFERROR(__xludf.DUMMYFUNCTION("""COMPUTED_VALUE"""),42745.36874471075)</f>
        <v>42745.36874</v>
      </c>
      <c r="C4528" s="1" t="str">
        <f>IFERROR(__xludf.DUMMYFUNCTION("""COMPUTED_VALUE"""),"control")</f>
        <v>control</v>
      </c>
      <c r="D4528" s="1" t="str">
        <f>IFERROR(__xludf.DUMMYFUNCTION("""COMPUTED_VALUE"""),"old_page")</f>
        <v>old_page</v>
      </c>
      <c r="E4528" s="1">
        <f>IFERROR(__xludf.DUMMYFUNCTION("""COMPUTED_VALUE"""),0.0)</f>
        <v>0</v>
      </c>
    </row>
    <row r="4529">
      <c r="A4529" s="1">
        <f>IFERROR(__xludf.DUMMYFUNCTION("""COMPUTED_VALUE"""),797966.0)</f>
        <v>797966</v>
      </c>
      <c r="B4529" s="2">
        <f>IFERROR(__xludf.DUMMYFUNCTION("""COMPUTED_VALUE"""),42759.00958077468)</f>
        <v>42759.00958</v>
      </c>
      <c r="C4529" s="1" t="str">
        <f>IFERROR(__xludf.DUMMYFUNCTION("""COMPUTED_VALUE"""),"control")</f>
        <v>control</v>
      </c>
      <c r="D4529" s="1" t="str">
        <f>IFERROR(__xludf.DUMMYFUNCTION("""COMPUTED_VALUE"""),"old_page")</f>
        <v>old_page</v>
      </c>
      <c r="E4529" s="1">
        <f>IFERROR(__xludf.DUMMYFUNCTION("""COMPUTED_VALUE"""),0.0)</f>
        <v>0</v>
      </c>
    </row>
    <row r="4530">
      <c r="A4530" s="1">
        <f>IFERROR(__xludf.DUMMYFUNCTION("""COMPUTED_VALUE"""),874385.0)</f>
        <v>874385</v>
      </c>
      <c r="B4530" s="2">
        <f>IFERROR(__xludf.DUMMYFUNCTION("""COMPUTED_VALUE"""),42758.76539631894)</f>
        <v>42758.7654</v>
      </c>
      <c r="C4530" s="1" t="str">
        <f>IFERROR(__xludf.DUMMYFUNCTION("""COMPUTED_VALUE"""),"control")</f>
        <v>control</v>
      </c>
      <c r="D4530" s="1" t="str">
        <f>IFERROR(__xludf.DUMMYFUNCTION("""COMPUTED_VALUE"""),"old_page")</f>
        <v>old_page</v>
      </c>
      <c r="E4530" s="1">
        <f>IFERROR(__xludf.DUMMYFUNCTION("""COMPUTED_VALUE"""),0.0)</f>
        <v>0</v>
      </c>
    </row>
    <row r="4531">
      <c r="A4531" s="1">
        <f>IFERROR(__xludf.DUMMYFUNCTION("""COMPUTED_VALUE"""),850369.0)</f>
        <v>850369</v>
      </c>
      <c r="B4531" s="2">
        <f>IFERROR(__xludf.DUMMYFUNCTION("""COMPUTED_VALUE"""),42754.069042646006)</f>
        <v>42754.06904</v>
      </c>
      <c r="C4531" s="1" t="str">
        <f>IFERROR(__xludf.DUMMYFUNCTION("""COMPUTED_VALUE"""),"control")</f>
        <v>control</v>
      </c>
      <c r="D4531" s="1" t="str">
        <f>IFERROR(__xludf.DUMMYFUNCTION("""COMPUTED_VALUE"""),"old_page")</f>
        <v>old_page</v>
      </c>
      <c r="E4531" s="1">
        <f>IFERROR(__xludf.DUMMYFUNCTION("""COMPUTED_VALUE"""),0.0)</f>
        <v>0</v>
      </c>
    </row>
    <row r="4532">
      <c r="A4532" s="1">
        <f>IFERROR(__xludf.DUMMYFUNCTION("""COMPUTED_VALUE"""),938627.0)</f>
        <v>938627</v>
      </c>
      <c r="B4532" s="2">
        <f>IFERROR(__xludf.DUMMYFUNCTION("""COMPUTED_VALUE"""),42758.34096903089)</f>
        <v>42758.34097</v>
      </c>
      <c r="C4532" s="1" t="str">
        <f>IFERROR(__xludf.DUMMYFUNCTION("""COMPUTED_VALUE"""),"treatment")</f>
        <v>treatment</v>
      </c>
      <c r="D4532" s="1" t="str">
        <f>IFERROR(__xludf.DUMMYFUNCTION("""COMPUTED_VALUE"""),"new_page")</f>
        <v>new_page</v>
      </c>
      <c r="E4532" s="1">
        <f>IFERROR(__xludf.DUMMYFUNCTION("""COMPUTED_VALUE"""),0.0)</f>
        <v>0</v>
      </c>
    </row>
    <row r="4533">
      <c r="A4533" s="1">
        <f>IFERROR(__xludf.DUMMYFUNCTION("""COMPUTED_VALUE"""),751685.0)</f>
        <v>751685</v>
      </c>
      <c r="B4533" s="2">
        <f>IFERROR(__xludf.DUMMYFUNCTION("""COMPUTED_VALUE"""),42753.64762524399)</f>
        <v>42753.64763</v>
      </c>
      <c r="C4533" s="1" t="str">
        <f>IFERROR(__xludf.DUMMYFUNCTION("""COMPUTED_VALUE"""),"treatment")</f>
        <v>treatment</v>
      </c>
      <c r="D4533" s="1" t="str">
        <f>IFERROR(__xludf.DUMMYFUNCTION("""COMPUTED_VALUE"""),"new_page")</f>
        <v>new_page</v>
      </c>
      <c r="E4533" s="1">
        <f>IFERROR(__xludf.DUMMYFUNCTION("""COMPUTED_VALUE"""),0.0)</f>
        <v>0</v>
      </c>
    </row>
    <row r="4534">
      <c r="A4534" s="1">
        <f>IFERROR(__xludf.DUMMYFUNCTION("""COMPUTED_VALUE"""),740516.0)</f>
        <v>740516</v>
      </c>
      <c r="B4534" s="2">
        <f>IFERROR(__xludf.DUMMYFUNCTION("""COMPUTED_VALUE"""),42747.222236727)</f>
        <v>42747.22224</v>
      </c>
      <c r="C4534" s="1" t="str">
        <f>IFERROR(__xludf.DUMMYFUNCTION("""COMPUTED_VALUE"""),"treatment")</f>
        <v>treatment</v>
      </c>
      <c r="D4534" s="1" t="str">
        <f>IFERROR(__xludf.DUMMYFUNCTION("""COMPUTED_VALUE"""),"new_page")</f>
        <v>new_page</v>
      </c>
      <c r="E4534" s="1">
        <f>IFERROR(__xludf.DUMMYFUNCTION("""COMPUTED_VALUE"""),0.0)</f>
        <v>0</v>
      </c>
    </row>
    <row r="4535">
      <c r="A4535" s="1">
        <f>IFERROR(__xludf.DUMMYFUNCTION("""COMPUTED_VALUE"""),938265.0)</f>
        <v>938265</v>
      </c>
      <c r="B4535" s="2">
        <f>IFERROR(__xludf.DUMMYFUNCTION("""COMPUTED_VALUE"""),42742.44018980693)</f>
        <v>42742.44019</v>
      </c>
      <c r="C4535" s="1" t="str">
        <f>IFERROR(__xludf.DUMMYFUNCTION("""COMPUTED_VALUE"""),"treatment")</f>
        <v>treatment</v>
      </c>
      <c r="D4535" s="1" t="str">
        <f>IFERROR(__xludf.DUMMYFUNCTION("""COMPUTED_VALUE"""),"new_page")</f>
        <v>new_page</v>
      </c>
      <c r="E4535" s="1">
        <f>IFERROR(__xludf.DUMMYFUNCTION("""COMPUTED_VALUE"""),0.0)</f>
        <v>0</v>
      </c>
    </row>
    <row r="4536">
      <c r="A4536" s="1">
        <f>IFERROR(__xludf.DUMMYFUNCTION("""COMPUTED_VALUE"""),831077.0)</f>
        <v>831077</v>
      </c>
      <c r="B4536" s="2">
        <f>IFERROR(__xludf.DUMMYFUNCTION("""COMPUTED_VALUE"""),42756.662449921576)</f>
        <v>42756.66245</v>
      </c>
      <c r="C4536" s="1" t="str">
        <f>IFERROR(__xludf.DUMMYFUNCTION("""COMPUTED_VALUE"""),"control")</f>
        <v>control</v>
      </c>
      <c r="D4536" s="1" t="str">
        <f>IFERROR(__xludf.DUMMYFUNCTION("""COMPUTED_VALUE"""),"old_page")</f>
        <v>old_page</v>
      </c>
      <c r="E4536" s="1">
        <f>IFERROR(__xludf.DUMMYFUNCTION("""COMPUTED_VALUE"""),0.0)</f>
        <v>0</v>
      </c>
    </row>
    <row r="4537">
      <c r="A4537" s="1">
        <f>IFERROR(__xludf.DUMMYFUNCTION("""COMPUTED_VALUE"""),885773.0)</f>
        <v>885773</v>
      </c>
      <c r="B4537" s="2">
        <f>IFERROR(__xludf.DUMMYFUNCTION("""COMPUTED_VALUE"""),42757.4007387939)</f>
        <v>42757.40074</v>
      </c>
      <c r="C4537" s="1" t="str">
        <f>IFERROR(__xludf.DUMMYFUNCTION("""COMPUTED_VALUE"""),"control")</f>
        <v>control</v>
      </c>
      <c r="D4537" s="1" t="str">
        <f>IFERROR(__xludf.DUMMYFUNCTION("""COMPUTED_VALUE"""),"old_page")</f>
        <v>old_page</v>
      </c>
      <c r="E4537" s="1">
        <f>IFERROR(__xludf.DUMMYFUNCTION("""COMPUTED_VALUE"""),0.0)</f>
        <v>0</v>
      </c>
    </row>
    <row r="4538">
      <c r="A4538" s="1">
        <f>IFERROR(__xludf.DUMMYFUNCTION("""COMPUTED_VALUE"""),649622.0)</f>
        <v>649622</v>
      </c>
      <c r="B4538" s="2">
        <f>IFERROR(__xludf.DUMMYFUNCTION("""COMPUTED_VALUE"""),42744.83724097759)</f>
        <v>42744.83724</v>
      </c>
      <c r="C4538" s="1" t="str">
        <f>IFERROR(__xludf.DUMMYFUNCTION("""COMPUTED_VALUE"""),"control")</f>
        <v>control</v>
      </c>
      <c r="D4538" s="1" t="str">
        <f>IFERROR(__xludf.DUMMYFUNCTION("""COMPUTED_VALUE"""),"old_page")</f>
        <v>old_page</v>
      </c>
      <c r="E4538" s="1">
        <f>IFERROR(__xludf.DUMMYFUNCTION("""COMPUTED_VALUE"""),0.0)</f>
        <v>0</v>
      </c>
    </row>
    <row r="4539">
      <c r="A4539" s="1">
        <f>IFERROR(__xludf.DUMMYFUNCTION("""COMPUTED_VALUE"""),761716.0)</f>
        <v>761716</v>
      </c>
      <c r="B4539" s="2">
        <f>IFERROR(__xludf.DUMMYFUNCTION("""COMPUTED_VALUE"""),42758.85570947273)</f>
        <v>42758.85571</v>
      </c>
      <c r="C4539" s="1" t="str">
        <f>IFERROR(__xludf.DUMMYFUNCTION("""COMPUTED_VALUE"""),"treatment")</f>
        <v>treatment</v>
      </c>
      <c r="D4539" s="1" t="str">
        <f>IFERROR(__xludf.DUMMYFUNCTION("""COMPUTED_VALUE"""),"old_page")</f>
        <v>old_page</v>
      </c>
      <c r="E4539" s="1">
        <f>IFERROR(__xludf.DUMMYFUNCTION("""COMPUTED_VALUE"""),0.0)</f>
        <v>0</v>
      </c>
    </row>
    <row r="4540">
      <c r="A4540" s="1">
        <f>IFERROR(__xludf.DUMMYFUNCTION("""COMPUTED_VALUE"""),892276.0)</f>
        <v>892276</v>
      </c>
      <c r="B4540" s="2">
        <f>IFERROR(__xludf.DUMMYFUNCTION("""COMPUTED_VALUE"""),42740.66949210124)</f>
        <v>42740.66949</v>
      </c>
      <c r="C4540" s="1" t="str">
        <f>IFERROR(__xludf.DUMMYFUNCTION("""COMPUTED_VALUE"""),"treatment")</f>
        <v>treatment</v>
      </c>
      <c r="D4540" s="1" t="str">
        <f>IFERROR(__xludf.DUMMYFUNCTION("""COMPUTED_VALUE"""),"new_page")</f>
        <v>new_page</v>
      </c>
      <c r="E4540" s="1">
        <f>IFERROR(__xludf.DUMMYFUNCTION("""COMPUTED_VALUE"""),0.0)</f>
        <v>0</v>
      </c>
    </row>
    <row r="4541">
      <c r="A4541" s="1">
        <f>IFERROR(__xludf.DUMMYFUNCTION("""COMPUTED_VALUE"""),779134.0)</f>
        <v>779134</v>
      </c>
      <c r="B4541" s="2">
        <f>IFERROR(__xludf.DUMMYFUNCTION("""COMPUTED_VALUE"""),42741.05784369713)</f>
        <v>42741.05784</v>
      </c>
      <c r="C4541" s="1" t="str">
        <f>IFERROR(__xludf.DUMMYFUNCTION("""COMPUTED_VALUE"""),"treatment")</f>
        <v>treatment</v>
      </c>
      <c r="D4541" s="1" t="str">
        <f>IFERROR(__xludf.DUMMYFUNCTION("""COMPUTED_VALUE"""),"new_page")</f>
        <v>new_page</v>
      </c>
      <c r="E4541" s="1">
        <f>IFERROR(__xludf.DUMMYFUNCTION("""COMPUTED_VALUE"""),1.0)</f>
        <v>1</v>
      </c>
    </row>
    <row r="4542">
      <c r="A4542" s="1">
        <f>IFERROR(__xludf.DUMMYFUNCTION("""COMPUTED_VALUE"""),799553.0)</f>
        <v>799553</v>
      </c>
      <c r="B4542" s="2">
        <f>IFERROR(__xludf.DUMMYFUNCTION("""COMPUTED_VALUE"""),42755.91145389159)</f>
        <v>42755.91145</v>
      </c>
      <c r="C4542" s="1" t="str">
        <f>IFERROR(__xludf.DUMMYFUNCTION("""COMPUTED_VALUE"""),"control")</f>
        <v>control</v>
      </c>
      <c r="D4542" s="1" t="str">
        <f>IFERROR(__xludf.DUMMYFUNCTION("""COMPUTED_VALUE"""),"old_page")</f>
        <v>old_page</v>
      </c>
      <c r="E4542" s="1">
        <f>IFERROR(__xludf.DUMMYFUNCTION("""COMPUTED_VALUE"""),0.0)</f>
        <v>0</v>
      </c>
    </row>
    <row r="4543">
      <c r="A4543" s="1">
        <f>IFERROR(__xludf.DUMMYFUNCTION("""COMPUTED_VALUE"""),647282.0)</f>
        <v>647282</v>
      </c>
      <c r="B4543" s="2">
        <f>IFERROR(__xludf.DUMMYFUNCTION("""COMPUTED_VALUE"""),42747.221874080766)</f>
        <v>42747.22187</v>
      </c>
      <c r="C4543" s="1" t="str">
        <f>IFERROR(__xludf.DUMMYFUNCTION("""COMPUTED_VALUE"""),"treatment")</f>
        <v>treatment</v>
      </c>
      <c r="D4543" s="1" t="str">
        <f>IFERROR(__xludf.DUMMYFUNCTION("""COMPUTED_VALUE"""),"new_page")</f>
        <v>new_page</v>
      </c>
      <c r="E4543" s="1">
        <f>IFERROR(__xludf.DUMMYFUNCTION("""COMPUTED_VALUE"""),1.0)</f>
        <v>1</v>
      </c>
    </row>
    <row r="4544">
      <c r="A4544" s="1">
        <f>IFERROR(__xludf.DUMMYFUNCTION("""COMPUTED_VALUE"""),872319.0)</f>
        <v>872319</v>
      </c>
      <c r="B4544" s="2">
        <f>IFERROR(__xludf.DUMMYFUNCTION("""COMPUTED_VALUE"""),42737.859603193785)</f>
        <v>42737.8596</v>
      </c>
      <c r="C4544" s="1" t="str">
        <f>IFERROR(__xludf.DUMMYFUNCTION("""COMPUTED_VALUE"""),"control")</f>
        <v>control</v>
      </c>
      <c r="D4544" s="1" t="str">
        <f>IFERROR(__xludf.DUMMYFUNCTION("""COMPUTED_VALUE"""),"old_page")</f>
        <v>old_page</v>
      </c>
      <c r="E4544" s="1">
        <f>IFERROR(__xludf.DUMMYFUNCTION("""COMPUTED_VALUE"""),0.0)</f>
        <v>0</v>
      </c>
    </row>
    <row r="4545">
      <c r="A4545" s="1">
        <f>IFERROR(__xludf.DUMMYFUNCTION("""COMPUTED_VALUE"""),869794.0)</f>
        <v>869794</v>
      </c>
      <c r="B4545" s="2">
        <f>IFERROR(__xludf.DUMMYFUNCTION("""COMPUTED_VALUE"""),42742.72467153266)</f>
        <v>42742.72467</v>
      </c>
      <c r="C4545" s="1" t="str">
        <f>IFERROR(__xludf.DUMMYFUNCTION("""COMPUTED_VALUE"""),"treatment")</f>
        <v>treatment</v>
      </c>
      <c r="D4545" s="1" t="str">
        <f>IFERROR(__xludf.DUMMYFUNCTION("""COMPUTED_VALUE"""),"new_page")</f>
        <v>new_page</v>
      </c>
      <c r="E4545" s="1">
        <f>IFERROR(__xludf.DUMMYFUNCTION("""COMPUTED_VALUE"""),0.0)</f>
        <v>0</v>
      </c>
    </row>
    <row r="4546">
      <c r="A4546" s="1">
        <f>IFERROR(__xludf.DUMMYFUNCTION("""COMPUTED_VALUE"""),648791.0)</f>
        <v>648791</v>
      </c>
      <c r="B4546" s="2">
        <f>IFERROR(__xludf.DUMMYFUNCTION("""COMPUTED_VALUE"""),42750.706768789445)</f>
        <v>42750.70677</v>
      </c>
      <c r="C4546" s="1" t="str">
        <f>IFERROR(__xludf.DUMMYFUNCTION("""COMPUTED_VALUE"""),"treatment")</f>
        <v>treatment</v>
      </c>
      <c r="D4546" s="1" t="str">
        <f>IFERROR(__xludf.DUMMYFUNCTION("""COMPUTED_VALUE"""),"new_page")</f>
        <v>new_page</v>
      </c>
      <c r="E4546" s="1">
        <f>IFERROR(__xludf.DUMMYFUNCTION("""COMPUTED_VALUE"""),0.0)</f>
        <v>0</v>
      </c>
    </row>
    <row r="4547">
      <c r="A4547" s="1">
        <f>IFERROR(__xludf.DUMMYFUNCTION("""COMPUTED_VALUE"""),820429.0)</f>
        <v>820429</v>
      </c>
      <c r="B4547" s="2">
        <f>IFERROR(__xludf.DUMMYFUNCTION("""COMPUTED_VALUE"""),42752.660070398284)</f>
        <v>42752.66007</v>
      </c>
      <c r="C4547" s="1" t="str">
        <f>IFERROR(__xludf.DUMMYFUNCTION("""COMPUTED_VALUE"""),"treatment")</f>
        <v>treatment</v>
      </c>
      <c r="D4547" s="1" t="str">
        <f>IFERROR(__xludf.DUMMYFUNCTION("""COMPUTED_VALUE"""),"new_page")</f>
        <v>new_page</v>
      </c>
      <c r="E4547" s="1">
        <f>IFERROR(__xludf.DUMMYFUNCTION("""COMPUTED_VALUE"""),0.0)</f>
        <v>0</v>
      </c>
    </row>
    <row r="4548">
      <c r="A4548" s="1">
        <f>IFERROR(__xludf.DUMMYFUNCTION("""COMPUTED_VALUE"""),901671.0)</f>
        <v>901671</v>
      </c>
      <c r="B4548" s="2">
        <f>IFERROR(__xludf.DUMMYFUNCTION("""COMPUTED_VALUE"""),42738.237028208554)</f>
        <v>42738.23703</v>
      </c>
      <c r="C4548" s="1" t="str">
        <f>IFERROR(__xludf.DUMMYFUNCTION("""COMPUTED_VALUE"""),"treatment")</f>
        <v>treatment</v>
      </c>
      <c r="D4548" s="1" t="str">
        <f>IFERROR(__xludf.DUMMYFUNCTION("""COMPUTED_VALUE"""),"new_page")</f>
        <v>new_page</v>
      </c>
      <c r="E4548" s="1">
        <f>IFERROR(__xludf.DUMMYFUNCTION("""COMPUTED_VALUE"""),0.0)</f>
        <v>0</v>
      </c>
    </row>
    <row r="4549">
      <c r="A4549" s="1">
        <f>IFERROR(__xludf.DUMMYFUNCTION("""COMPUTED_VALUE"""),837730.0)</f>
        <v>837730</v>
      </c>
      <c r="B4549" s="2">
        <f>IFERROR(__xludf.DUMMYFUNCTION("""COMPUTED_VALUE"""),42757.63457092071)</f>
        <v>42757.63457</v>
      </c>
      <c r="C4549" s="1" t="str">
        <f>IFERROR(__xludf.DUMMYFUNCTION("""COMPUTED_VALUE"""),"control")</f>
        <v>control</v>
      </c>
      <c r="D4549" s="1" t="str">
        <f>IFERROR(__xludf.DUMMYFUNCTION("""COMPUTED_VALUE"""),"old_page")</f>
        <v>old_page</v>
      </c>
      <c r="E4549" s="1">
        <f>IFERROR(__xludf.DUMMYFUNCTION("""COMPUTED_VALUE"""),1.0)</f>
        <v>1</v>
      </c>
    </row>
    <row r="4550">
      <c r="A4550" s="1">
        <f>IFERROR(__xludf.DUMMYFUNCTION("""COMPUTED_VALUE"""),814263.0)</f>
        <v>814263</v>
      </c>
      <c r="B4550" s="2">
        <f>IFERROR(__xludf.DUMMYFUNCTION("""COMPUTED_VALUE"""),42741.89779892566)</f>
        <v>42741.8978</v>
      </c>
      <c r="C4550" s="1" t="str">
        <f>IFERROR(__xludf.DUMMYFUNCTION("""COMPUTED_VALUE"""),"treatment")</f>
        <v>treatment</v>
      </c>
      <c r="D4550" s="1" t="str">
        <f>IFERROR(__xludf.DUMMYFUNCTION("""COMPUTED_VALUE"""),"new_page")</f>
        <v>new_page</v>
      </c>
      <c r="E4550" s="1">
        <f>IFERROR(__xludf.DUMMYFUNCTION("""COMPUTED_VALUE"""),0.0)</f>
        <v>0</v>
      </c>
    </row>
    <row r="4551">
      <c r="A4551" s="1">
        <f>IFERROR(__xludf.DUMMYFUNCTION("""COMPUTED_VALUE"""),670895.0)</f>
        <v>670895</v>
      </c>
      <c r="B4551" s="2">
        <f>IFERROR(__xludf.DUMMYFUNCTION("""COMPUTED_VALUE"""),42748.548998695405)</f>
        <v>42748.549</v>
      </c>
      <c r="C4551" s="1" t="str">
        <f>IFERROR(__xludf.DUMMYFUNCTION("""COMPUTED_VALUE"""),"control")</f>
        <v>control</v>
      </c>
      <c r="D4551" s="1" t="str">
        <f>IFERROR(__xludf.DUMMYFUNCTION("""COMPUTED_VALUE"""),"old_page")</f>
        <v>old_page</v>
      </c>
      <c r="E4551" s="1">
        <f>IFERROR(__xludf.DUMMYFUNCTION("""COMPUTED_VALUE"""),0.0)</f>
        <v>0</v>
      </c>
    </row>
    <row r="4552">
      <c r="A4552" s="1">
        <f>IFERROR(__xludf.DUMMYFUNCTION("""COMPUTED_VALUE"""),909459.0)</f>
        <v>909459</v>
      </c>
      <c r="B4552" s="2">
        <f>IFERROR(__xludf.DUMMYFUNCTION("""COMPUTED_VALUE"""),42751.13160463458)</f>
        <v>42751.1316</v>
      </c>
      <c r="C4552" s="1" t="str">
        <f>IFERROR(__xludf.DUMMYFUNCTION("""COMPUTED_VALUE"""),"treatment")</f>
        <v>treatment</v>
      </c>
      <c r="D4552" s="1" t="str">
        <f>IFERROR(__xludf.DUMMYFUNCTION("""COMPUTED_VALUE"""),"new_page")</f>
        <v>new_page</v>
      </c>
      <c r="E4552" s="1">
        <f>IFERROR(__xludf.DUMMYFUNCTION("""COMPUTED_VALUE"""),0.0)</f>
        <v>0</v>
      </c>
    </row>
    <row r="4553">
      <c r="A4553" s="1">
        <f>IFERROR(__xludf.DUMMYFUNCTION("""COMPUTED_VALUE"""),654105.0)</f>
        <v>654105</v>
      </c>
      <c r="B4553" s="2">
        <f>IFERROR(__xludf.DUMMYFUNCTION("""COMPUTED_VALUE"""),42746.59544010684)</f>
        <v>42746.59544</v>
      </c>
      <c r="C4553" s="1" t="str">
        <f>IFERROR(__xludf.DUMMYFUNCTION("""COMPUTED_VALUE"""),"control")</f>
        <v>control</v>
      </c>
      <c r="D4553" s="1" t="str">
        <f>IFERROR(__xludf.DUMMYFUNCTION("""COMPUTED_VALUE"""),"old_page")</f>
        <v>old_page</v>
      </c>
      <c r="E4553" s="1">
        <f>IFERROR(__xludf.DUMMYFUNCTION("""COMPUTED_VALUE"""),0.0)</f>
        <v>0</v>
      </c>
    </row>
    <row r="4554">
      <c r="A4554" s="1">
        <f>IFERROR(__xludf.DUMMYFUNCTION("""COMPUTED_VALUE"""),705718.0)</f>
        <v>705718</v>
      </c>
      <c r="B4554" s="2">
        <f>IFERROR(__xludf.DUMMYFUNCTION("""COMPUTED_VALUE"""),42739.00799922559)</f>
        <v>42739.008</v>
      </c>
      <c r="C4554" s="1" t="str">
        <f>IFERROR(__xludf.DUMMYFUNCTION("""COMPUTED_VALUE"""),"control")</f>
        <v>control</v>
      </c>
      <c r="D4554" s="1" t="str">
        <f>IFERROR(__xludf.DUMMYFUNCTION("""COMPUTED_VALUE"""),"old_page")</f>
        <v>old_page</v>
      </c>
      <c r="E4554" s="1">
        <f>IFERROR(__xludf.DUMMYFUNCTION("""COMPUTED_VALUE"""),0.0)</f>
        <v>0</v>
      </c>
    </row>
    <row r="4555">
      <c r="A4555" s="1">
        <f>IFERROR(__xludf.DUMMYFUNCTION("""COMPUTED_VALUE"""),870895.0)</f>
        <v>870895</v>
      </c>
      <c r="B4555" s="2">
        <f>IFERROR(__xludf.DUMMYFUNCTION("""COMPUTED_VALUE"""),42742.364596300926)</f>
        <v>42742.3646</v>
      </c>
      <c r="C4555" s="1" t="str">
        <f>IFERROR(__xludf.DUMMYFUNCTION("""COMPUTED_VALUE"""),"control")</f>
        <v>control</v>
      </c>
      <c r="D4555" s="1" t="str">
        <f>IFERROR(__xludf.DUMMYFUNCTION("""COMPUTED_VALUE"""),"old_page")</f>
        <v>old_page</v>
      </c>
      <c r="E4555" s="1">
        <f>IFERROR(__xludf.DUMMYFUNCTION("""COMPUTED_VALUE"""),0.0)</f>
        <v>0</v>
      </c>
    </row>
    <row r="4556">
      <c r="A4556" s="1">
        <f>IFERROR(__xludf.DUMMYFUNCTION("""COMPUTED_VALUE"""),823630.0)</f>
        <v>823630</v>
      </c>
      <c r="B4556" s="2">
        <f>IFERROR(__xludf.DUMMYFUNCTION("""COMPUTED_VALUE"""),42748.090335831504)</f>
        <v>42748.09034</v>
      </c>
      <c r="C4556" s="1" t="str">
        <f>IFERROR(__xludf.DUMMYFUNCTION("""COMPUTED_VALUE"""),"treatment")</f>
        <v>treatment</v>
      </c>
      <c r="D4556" s="1" t="str">
        <f>IFERROR(__xludf.DUMMYFUNCTION("""COMPUTED_VALUE"""),"new_page")</f>
        <v>new_page</v>
      </c>
      <c r="E4556" s="1">
        <f>IFERROR(__xludf.DUMMYFUNCTION("""COMPUTED_VALUE"""),0.0)</f>
        <v>0</v>
      </c>
    </row>
    <row r="4557">
      <c r="A4557" s="1">
        <f>IFERROR(__xludf.DUMMYFUNCTION("""COMPUTED_VALUE"""),689119.0)</f>
        <v>689119</v>
      </c>
      <c r="B4557" s="2">
        <f>IFERROR(__xludf.DUMMYFUNCTION("""COMPUTED_VALUE"""),42746.66422715042)</f>
        <v>42746.66423</v>
      </c>
      <c r="C4557" s="1" t="str">
        <f>IFERROR(__xludf.DUMMYFUNCTION("""COMPUTED_VALUE"""),"control")</f>
        <v>control</v>
      </c>
      <c r="D4557" s="1" t="str">
        <f>IFERROR(__xludf.DUMMYFUNCTION("""COMPUTED_VALUE"""),"old_page")</f>
        <v>old_page</v>
      </c>
      <c r="E4557" s="1">
        <f>IFERROR(__xludf.DUMMYFUNCTION("""COMPUTED_VALUE"""),1.0)</f>
        <v>1</v>
      </c>
    </row>
    <row r="4558">
      <c r="A4558" s="1">
        <f>IFERROR(__xludf.DUMMYFUNCTION("""COMPUTED_VALUE"""),841303.0)</f>
        <v>841303</v>
      </c>
      <c r="B4558" s="2">
        <f>IFERROR(__xludf.DUMMYFUNCTION("""COMPUTED_VALUE"""),42742.2834540583)</f>
        <v>42742.28345</v>
      </c>
      <c r="C4558" s="1" t="str">
        <f>IFERROR(__xludf.DUMMYFUNCTION("""COMPUTED_VALUE"""),"treatment")</f>
        <v>treatment</v>
      </c>
      <c r="D4558" s="1" t="str">
        <f>IFERROR(__xludf.DUMMYFUNCTION("""COMPUTED_VALUE"""),"new_page")</f>
        <v>new_page</v>
      </c>
      <c r="E4558" s="1">
        <f>IFERROR(__xludf.DUMMYFUNCTION("""COMPUTED_VALUE"""),0.0)</f>
        <v>0</v>
      </c>
    </row>
    <row r="4559">
      <c r="A4559" s="1">
        <f>IFERROR(__xludf.DUMMYFUNCTION("""COMPUTED_VALUE"""),876212.0)</f>
        <v>876212</v>
      </c>
      <c r="B4559" s="2">
        <f>IFERROR(__xludf.DUMMYFUNCTION("""COMPUTED_VALUE"""),42754.776505323076)</f>
        <v>42754.77651</v>
      </c>
      <c r="C4559" s="1" t="str">
        <f>IFERROR(__xludf.DUMMYFUNCTION("""COMPUTED_VALUE"""),"treatment")</f>
        <v>treatment</v>
      </c>
      <c r="D4559" s="1" t="str">
        <f>IFERROR(__xludf.DUMMYFUNCTION("""COMPUTED_VALUE"""),"new_page")</f>
        <v>new_page</v>
      </c>
      <c r="E4559" s="1">
        <f>IFERROR(__xludf.DUMMYFUNCTION("""COMPUTED_VALUE"""),0.0)</f>
        <v>0</v>
      </c>
    </row>
    <row r="4560">
      <c r="A4560" s="1">
        <f>IFERROR(__xludf.DUMMYFUNCTION("""COMPUTED_VALUE"""),854009.0)</f>
        <v>854009</v>
      </c>
      <c r="B4560" s="2">
        <f>IFERROR(__xludf.DUMMYFUNCTION("""COMPUTED_VALUE"""),42743.84656583373)</f>
        <v>42743.84657</v>
      </c>
      <c r="C4560" s="1" t="str">
        <f>IFERROR(__xludf.DUMMYFUNCTION("""COMPUTED_VALUE"""),"control")</f>
        <v>control</v>
      </c>
      <c r="D4560" s="1" t="str">
        <f>IFERROR(__xludf.DUMMYFUNCTION("""COMPUTED_VALUE"""),"old_page")</f>
        <v>old_page</v>
      </c>
      <c r="E4560" s="1">
        <f>IFERROR(__xludf.DUMMYFUNCTION("""COMPUTED_VALUE"""),0.0)</f>
        <v>0</v>
      </c>
    </row>
    <row r="4561">
      <c r="A4561" s="1">
        <f>IFERROR(__xludf.DUMMYFUNCTION("""COMPUTED_VALUE"""),883377.0)</f>
        <v>883377</v>
      </c>
      <c r="B4561" s="2">
        <f>IFERROR(__xludf.DUMMYFUNCTION("""COMPUTED_VALUE"""),42759.516739498285)</f>
        <v>42759.51674</v>
      </c>
      <c r="C4561" s="1" t="str">
        <f>IFERROR(__xludf.DUMMYFUNCTION("""COMPUTED_VALUE"""),"control")</f>
        <v>control</v>
      </c>
      <c r="D4561" s="1" t="str">
        <f>IFERROR(__xludf.DUMMYFUNCTION("""COMPUTED_VALUE"""),"old_page")</f>
        <v>old_page</v>
      </c>
      <c r="E4561" s="1">
        <f>IFERROR(__xludf.DUMMYFUNCTION("""COMPUTED_VALUE"""),0.0)</f>
        <v>0</v>
      </c>
    </row>
    <row r="4562">
      <c r="A4562" s="1">
        <f>IFERROR(__xludf.DUMMYFUNCTION("""COMPUTED_VALUE"""),821756.0)</f>
        <v>821756</v>
      </c>
      <c r="B4562" s="2">
        <f>IFERROR(__xludf.DUMMYFUNCTION("""COMPUTED_VALUE"""),42741.55495747736)</f>
        <v>42741.55496</v>
      </c>
      <c r="C4562" s="1" t="str">
        <f>IFERROR(__xludf.DUMMYFUNCTION("""COMPUTED_VALUE"""),"control")</f>
        <v>control</v>
      </c>
      <c r="D4562" s="1" t="str">
        <f>IFERROR(__xludf.DUMMYFUNCTION("""COMPUTED_VALUE"""),"old_page")</f>
        <v>old_page</v>
      </c>
      <c r="E4562" s="1">
        <f>IFERROR(__xludf.DUMMYFUNCTION("""COMPUTED_VALUE"""),0.0)</f>
        <v>0</v>
      </c>
    </row>
    <row r="4563">
      <c r="A4563" s="1">
        <f>IFERROR(__xludf.DUMMYFUNCTION("""COMPUTED_VALUE"""),835460.0)</f>
        <v>835460</v>
      </c>
      <c r="B4563" s="2">
        <f>IFERROR(__xludf.DUMMYFUNCTION("""COMPUTED_VALUE"""),42747.29375734205)</f>
        <v>42747.29376</v>
      </c>
      <c r="C4563" s="1" t="str">
        <f>IFERROR(__xludf.DUMMYFUNCTION("""COMPUTED_VALUE"""),"treatment")</f>
        <v>treatment</v>
      </c>
      <c r="D4563" s="1" t="str">
        <f>IFERROR(__xludf.DUMMYFUNCTION("""COMPUTED_VALUE"""),"new_page")</f>
        <v>new_page</v>
      </c>
      <c r="E4563" s="1">
        <f>IFERROR(__xludf.DUMMYFUNCTION("""COMPUTED_VALUE"""),0.0)</f>
        <v>0</v>
      </c>
    </row>
    <row r="4564">
      <c r="A4564" s="1">
        <f>IFERROR(__xludf.DUMMYFUNCTION("""COMPUTED_VALUE"""),716681.0)</f>
        <v>716681</v>
      </c>
      <c r="B4564" s="2">
        <f>IFERROR(__xludf.DUMMYFUNCTION("""COMPUTED_VALUE"""),42739.64530960661)</f>
        <v>42739.64531</v>
      </c>
      <c r="C4564" s="1" t="str">
        <f>IFERROR(__xludf.DUMMYFUNCTION("""COMPUTED_VALUE"""),"treatment")</f>
        <v>treatment</v>
      </c>
      <c r="D4564" s="1" t="str">
        <f>IFERROR(__xludf.DUMMYFUNCTION("""COMPUTED_VALUE"""),"new_page")</f>
        <v>new_page</v>
      </c>
      <c r="E4564" s="1">
        <f>IFERROR(__xludf.DUMMYFUNCTION("""COMPUTED_VALUE"""),0.0)</f>
        <v>0</v>
      </c>
    </row>
    <row r="4565">
      <c r="A4565" s="1">
        <f>IFERROR(__xludf.DUMMYFUNCTION("""COMPUTED_VALUE"""),769145.0)</f>
        <v>769145</v>
      </c>
      <c r="B4565" s="2">
        <f>IFERROR(__xludf.DUMMYFUNCTION("""COMPUTED_VALUE"""),42758.40127491327)</f>
        <v>42758.40127</v>
      </c>
      <c r="C4565" s="1" t="str">
        <f>IFERROR(__xludf.DUMMYFUNCTION("""COMPUTED_VALUE"""),"treatment")</f>
        <v>treatment</v>
      </c>
      <c r="D4565" s="1" t="str">
        <f>IFERROR(__xludf.DUMMYFUNCTION("""COMPUTED_VALUE"""),"new_page")</f>
        <v>new_page</v>
      </c>
      <c r="E4565" s="1">
        <f>IFERROR(__xludf.DUMMYFUNCTION("""COMPUTED_VALUE"""),0.0)</f>
        <v>0</v>
      </c>
    </row>
    <row r="4566">
      <c r="A4566" s="1">
        <f>IFERROR(__xludf.DUMMYFUNCTION("""COMPUTED_VALUE"""),813315.0)</f>
        <v>813315</v>
      </c>
      <c r="B4566" s="2">
        <f>IFERROR(__xludf.DUMMYFUNCTION("""COMPUTED_VALUE"""),42750.18436717844)</f>
        <v>42750.18437</v>
      </c>
      <c r="C4566" s="1" t="str">
        <f>IFERROR(__xludf.DUMMYFUNCTION("""COMPUTED_VALUE"""),"control")</f>
        <v>control</v>
      </c>
      <c r="D4566" s="1" t="str">
        <f>IFERROR(__xludf.DUMMYFUNCTION("""COMPUTED_VALUE"""),"old_page")</f>
        <v>old_page</v>
      </c>
      <c r="E4566" s="1">
        <f>IFERROR(__xludf.DUMMYFUNCTION("""COMPUTED_VALUE"""),0.0)</f>
        <v>0</v>
      </c>
    </row>
    <row r="4567">
      <c r="A4567" s="1">
        <f>IFERROR(__xludf.DUMMYFUNCTION("""COMPUTED_VALUE"""),873350.0)</f>
        <v>873350</v>
      </c>
      <c r="B4567" s="2">
        <f>IFERROR(__xludf.DUMMYFUNCTION("""COMPUTED_VALUE"""),42742.77805644725)</f>
        <v>42742.77806</v>
      </c>
      <c r="C4567" s="1" t="str">
        <f>IFERROR(__xludf.DUMMYFUNCTION("""COMPUTED_VALUE"""),"control")</f>
        <v>control</v>
      </c>
      <c r="D4567" s="1" t="str">
        <f>IFERROR(__xludf.DUMMYFUNCTION("""COMPUTED_VALUE"""),"old_page")</f>
        <v>old_page</v>
      </c>
      <c r="E4567" s="1">
        <f>IFERROR(__xludf.DUMMYFUNCTION("""COMPUTED_VALUE"""),0.0)</f>
        <v>0</v>
      </c>
    </row>
    <row r="4568">
      <c r="A4568" s="1">
        <f>IFERROR(__xludf.DUMMYFUNCTION("""COMPUTED_VALUE"""),786307.0)</f>
        <v>786307</v>
      </c>
      <c r="B4568" s="2">
        <f>IFERROR(__xludf.DUMMYFUNCTION("""COMPUTED_VALUE"""),42746.32484058107)</f>
        <v>42746.32484</v>
      </c>
      <c r="C4568" s="1" t="str">
        <f>IFERROR(__xludf.DUMMYFUNCTION("""COMPUTED_VALUE"""),"treatment")</f>
        <v>treatment</v>
      </c>
      <c r="D4568" s="1" t="str">
        <f>IFERROR(__xludf.DUMMYFUNCTION("""COMPUTED_VALUE"""),"new_page")</f>
        <v>new_page</v>
      </c>
      <c r="E4568" s="1">
        <f>IFERROR(__xludf.DUMMYFUNCTION("""COMPUTED_VALUE"""),0.0)</f>
        <v>0</v>
      </c>
    </row>
    <row r="4569">
      <c r="A4569" s="1">
        <f>IFERROR(__xludf.DUMMYFUNCTION("""COMPUTED_VALUE"""),723860.0)</f>
        <v>723860</v>
      </c>
      <c r="B4569" s="2">
        <f>IFERROR(__xludf.DUMMYFUNCTION("""COMPUTED_VALUE"""),42741.50427775972)</f>
        <v>42741.50428</v>
      </c>
      <c r="C4569" s="1" t="str">
        <f>IFERROR(__xludf.DUMMYFUNCTION("""COMPUTED_VALUE"""),"control")</f>
        <v>control</v>
      </c>
      <c r="D4569" s="1" t="str">
        <f>IFERROR(__xludf.DUMMYFUNCTION("""COMPUTED_VALUE"""),"old_page")</f>
        <v>old_page</v>
      </c>
      <c r="E4569" s="1">
        <f>IFERROR(__xludf.DUMMYFUNCTION("""COMPUTED_VALUE"""),0.0)</f>
        <v>0</v>
      </c>
    </row>
    <row r="4570">
      <c r="A4570" s="1">
        <f>IFERROR(__xludf.DUMMYFUNCTION("""COMPUTED_VALUE"""),752252.0)</f>
        <v>752252</v>
      </c>
      <c r="B4570" s="2">
        <f>IFERROR(__xludf.DUMMYFUNCTION("""COMPUTED_VALUE"""),42759.21172072777)</f>
        <v>42759.21172</v>
      </c>
      <c r="C4570" s="1" t="str">
        <f>IFERROR(__xludf.DUMMYFUNCTION("""COMPUTED_VALUE"""),"treatment")</f>
        <v>treatment</v>
      </c>
      <c r="D4570" s="1" t="str">
        <f>IFERROR(__xludf.DUMMYFUNCTION("""COMPUTED_VALUE"""),"new_page")</f>
        <v>new_page</v>
      </c>
      <c r="E4570" s="1">
        <f>IFERROR(__xludf.DUMMYFUNCTION("""COMPUTED_VALUE"""),0.0)</f>
        <v>0</v>
      </c>
    </row>
    <row r="4571">
      <c r="A4571" s="1">
        <f>IFERROR(__xludf.DUMMYFUNCTION("""COMPUTED_VALUE"""),896332.0)</f>
        <v>896332</v>
      </c>
      <c r="B4571" s="2">
        <f>IFERROR(__xludf.DUMMYFUNCTION("""COMPUTED_VALUE"""),42740.399534790675)</f>
        <v>42740.39953</v>
      </c>
      <c r="C4571" s="1" t="str">
        <f>IFERROR(__xludf.DUMMYFUNCTION("""COMPUTED_VALUE"""),"treatment")</f>
        <v>treatment</v>
      </c>
      <c r="D4571" s="1" t="str">
        <f>IFERROR(__xludf.DUMMYFUNCTION("""COMPUTED_VALUE"""),"new_page")</f>
        <v>new_page</v>
      </c>
      <c r="E4571" s="1">
        <f>IFERROR(__xludf.DUMMYFUNCTION("""COMPUTED_VALUE"""),0.0)</f>
        <v>0</v>
      </c>
    </row>
    <row r="4572">
      <c r="A4572" s="1">
        <f>IFERROR(__xludf.DUMMYFUNCTION("""COMPUTED_VALUE"""),855405.0)</f>
        <v>855405</v>
      </c>
      <c r="B4572" s="2">
        <f>IFERROR(__xludf.DUMMYFUNCTION("""COMPUTED_VALUE"""),42741.100763522445)</f>
        <v>42741.10076</v>
      </c>
      <c r="C4572" s="1" t="str">
        <f>IFERROR(__xludf.DUMMYFUNCTION("""COMPUTED_VALUE"""),"control")</f>
        <v>control</v>
      </c>
      <c r="D4572" s="1" t="str">
        <f>IFERROR(__xludf.DUMMYFUNCTION("""COMPUTED_VALUE"""),"old_page")</f>
        <v>old_page</v>
      </c>
      <c r="E4572" s="1">
        <f>IFERROR(__xludf.DUMMYFUNCTION("""COMPUTED_VALUE"""),0.0)</f>
        <v>0</v>
      </c>
    </row>
    <row r="4573">
      <c r="A4573" s="1">
        <f>IFERROR(__xludf.DUMMYFUNCTION("""COMPUTED_VALUE"""),802900.0)</f>
        <v>802900</v>
      </c>
      <c r="B4573" s="2">
        <f>IFERROR(__xludf.DUMMYFUNCTION("""COMPUTED_VALUE"""),42741.47028169602)</f>
        <v>42741.47028</v>
      </c>
      <c r="C4573" s="1" t="str">
        <f>IFERROR(__xludf.DUMMYFUNCTION("""COMPUTED_VALUE"""),"treatment")</f>
        <v>treatment</v>
      </c>
      <c r="D4573" s="1" t="str">
        <f>IFERROR(__xludf.DUMMYFUNCTION("""COMPUTED_VALUE"""),"new_page")</f>
        <v>new_page</v>
      </c>
      <c r="E4573" s="1">
        <f>IFERROR(__xludf.DUMMYFUNCTION("""COMPUTED_VALUE"""),0.0)</f>
        <v>0</v>
      </c>
    </row>
    <row r="4574">
      <c r="A4574" s="1">
        <f>IFERROR(__xludf.DUMMYFUNCTION("""COMPUTED_VALUE"""),843105.0)</f>
        <v>843105</v>
      </c>
      <c r="B4574" s="2">
        <f>IFERROR(__xludf.DUMMYFUNCTION("""COMPUTED_VALUE"""),42758.36538597882)</f>
        <v>42758.36539</v>
      </c>
      <c r="C4574" s="1" t="str">
        <f>IFERROR(__xludf.DUMMYFUNCTION("""COMPUTED_VALUE"""),"treatment")</f>
        <v>treatment</v>
      </c>
      <c r="D4574" s="1" t="str">
        <f>IFERROR(__xludf.DUMMYFUNCTION("""COMPUTED_VALUE"""),"new_page")</f>
        <v>new_page</v>
      </c>
      <c r="E4574" s="1">
        <f>IFERROR(__xludf.DUMMYFUNCTION("""COMPUTED_VALUE"""),0.0)</f>
        <v>0</v>
      </c>
    </row>
    <row r="4575">
      <c r="A4575" s="1">
        <f>IFERROR(__xludf.DUMMYFUNCTION("""COMPUTED_VALUE"""),871826.0)</f>
        <v>871826</v>
      </c>
      <c r="B4575" s="2">
        <f>IFERROR(__xludf.DUMMYFUNCTION("""COMPUTED_VALUE"""),42740.98273195263)</f>
        <v>42740.98273</v>
      </c>
      <c r="C4575" s="1" t="str">
        <f>IFERROR(__xludf.DUMMYFUNCTION("""COMPUTED_VALUE"""),"treatment")</f>
        <v>treatment</v>
      </c>
      <c r="D4575" s="1" t="str">
        <f>IFERROR(__xludf.DUMMYFUNCTION("""COMPUTED_VALUE"""),"new_page")</f>
        <v>new_page</v>
      </c>
      <c r="E4575" s="1">
        <f>IFERROR(__xludf.DUMMYFUNCTION("""COMPUTED_VALUE"""),1.0)</f>
        <v>1</v>
      </c>
    </row>
    <row r="4576">
      <c r="A4576" s="1">
        <f>IFERROR(__xludf.DUMMYFUNCTION("""COMPUTED_VALUE"""),843786.0)</f>
        <v>843786</v>
      </c>
      <c r="B4576" s="2">
        <f>IFERROR(__xludf.DUMMYFUNCTION("""COMPUTED_VALUE"""),42748.59348963281)</f>
        <v>42748.59349</v>
      </c>
      <c r="C4576" s="1" t="str">
        <f>IFERROR(__xludf.DUMMYFUNCTION("""COMPUTED_VALUE"""),"treatment")</f>
        <v>treatment</v>
      </c>
      <c r="D4576" s="1" t="str">
        <f>IFERROR(__xludf.DUMMYFUNCTION("""COMPUTED_VALUE"""),"new_page")</f>
        <v>new_page</v>
      </c>
      <c r="E4576" s="1">
        <f>IFERROR(__xludf.DUMMYFUNCTION("""COMPUTED_VALUE"""),0.0)</f>
        <v>0</v>
      </c>
    </row>
    <row r="4577">
      <c r="A4577" s="1">
        <f>IFERROR(__xludf.DUMMYFUNCTION("""COMPUTED_VALUE"""),644076.0)</f>
        <v>644076</v>
      </c>
      <c r="B4577" s="2">
        <f>IFERROR(__xludf.DUMMYFUNCTION("""COMPUTED_VALUE"""),42744.490273732335)</f>
        <v>42744.49027</v>
      </c>
      <c r="C4577" s="1" t="str">
        <f>IFERROR(__xludf.DUMMYFUNCTION("""COMPUTED_VALUE"""),"control")</f>
        <v>control</v>
      </c>
      <c r="D4577" s="1" t="str">
        <f>IFERROR(__xludf.DUMMYFUNCTION("""COMPUTED_VALUE"""),"old_page")</f>
        <v>old_page</v>
      </c>
      <c r="E4577" s="1">
        <f>IFERROR(__xludf.DUMMYFUNCTION("""COMPUTED_VALUE"""),0.0)</f>
        <v>0</v>
      </c>
    </row>
    <row r="4578">
      <c r="A4578" s="1">
        <f>IFERROR(__xludf.DUMMYFUNCTION("""COMPUTED_VALUE"""),814134.0)</f>
        <v>814134</v>
      </c>
      <c r="B4578" s="2">
        <f>IFERROR(__xludf.DUMMYFUNCTION("""COMPUTED_VALUE"""),42748.486523450025)</f>
        <v>42748.48652</v>
      </c>
      <c r="C4578" s="1" t="str">
        <f>IFERROR(__xludf.DUMMYFUNCTION("""COMPUTED_VALUE"""),"treatment")</f>
        <v>treatment</v>
      </c>
      <c r="D4578" s="1" t="str">
        <f>IFERROR(__xludf.DUMMYFUNCTION("""COMPUTED_VALUE"""),"new_page")</f>
        <v>new_page</v>
      </c>
      <c r="E4578" s="1">
        <f>IFERROR(__xludf.DUMMYFUNCTION("""COMPUTED_VALUE"""),0.0)</f>
        <v>0</v>
      </c>
    </row>
    <row r="4579">
      <c r="A4579" s="1">
        <f>IFERROR(__xludf.DUMMYFUNCTION("""COMPUTED_VALUE"""),934170.0)</f>
        <v>934170</v>
      </c>
      <c r="B4579" s="2">
        <f>IFERROR(__xludf.DUMMYFUNCTION("""COMPUTED_VALUE"""),42758.897262486746)</f>
        <v>42758.89726</v>
      </c>
      <c r="C4579" s="1" t="str">
        <f>IFERROR(__xludf.DUMMYFUNCTION("""COMPUTED_VALUE"""),"treatment")</f>
        <v>treatment</v>
      </c>
      <c r="D4579" s="1" t="str">
        <f>IFERROR(__xludf.DUMMYFUNCTION("""COMPUTED_VALUE"""),"new_page")</f>
        <v>new_page</v>
      </c>
      <c r="E4579" s="1">
        <f>IFERROR(__xludf.DUMMYFUNCTION("""COMPUTED_VALUE"""),1.0)</f>
        <v>1</v>
      </c>
    </row>
    <row r="4580">
      <c r="A4580" s="1">
        <f>IFERROR(__xludf.DUMMYFUNCTION("""COMPUTED_VALUE"""),856943.0)</f>
        <v>856943</v>
      </c>
      <c r="B4580" s="2">
        <f>IFERROR(__xludf.DUMMYFUNCTION("""COMPUTED_VALUE"""),42741.726332222155)</f>
        <v>42741.72633</v>
      </c>
      <c r="C4580" s="1" t="str">
        <f>IFERROR(__xludf.DUMMYFUNCTION("""COMPUTED_VALUE"""),"treatment")</f>
        <v>treatment</v>
      </c>
      <c r="D4580" s="1" t="str">
        <f>IFERROR(__xludf.DUMMYFUNCTION("""COMPUTED_VALUE"""),"new_page")</f>
        <v>new_page</v>
      </c>
      <c r="E4580" s="1">
        <f>IFERROR(__xludf.DUMMYFUNCTION("""COMPUTED_VALUE"""),1.0)</f>
        <v>1</v>
      </c>
    </row>
    <row r="4581">
      <c r="A4581" s="1">
        <f>IFERROR(__xludf.DUMMYFUNCTION("""COMPUTED_VALUE"""),793736.0)</f>
        <v>793736</v>
      </c>
      <c r="B4581" s="2">
        <f>IFERROR(__xludf.DUMMYFUNCTION("""COMPUTED_VALUE"""),42748.79667764701)</f>
        <v>42748.79668</v>
      </c>
      <c r="C4581" s="1" t="str">
        <f>IFERROR(__xludf.DUMMYFUNCTION("""COMPUTED_VALUE"""),"control")</f>
        <v>control</v>
      </c>
      <c r="D4581" s="1" t="str">
        <f>IFERROR(__xludf.DUMMYFUNCTION("""COMPUTED_VALUE"""),"old_page")</f>
        <v>old_page</v>
      </c>
      <c r="E4581" s="1">
        <f>IFERROR(__xludf.DUMMYFUNCTION("""COMPUTED_VALUE"""),0.0)</f>
        <v>0</v>
      </c>
    </row>
    <row r="4582">
      <c r="A4582" s="1">
        <f>IFERROR(__xludf.DUMMYFUNCTION("""COMPUTED_VALUE"""),862419.0)</f>
        <v>862419</v>
      </c>
      <c r="B4582" s="2">
        <f>IFERROR(__xludf.DUMMYFUNCTION("""COMPUTED_VALUE"""),42742.49616258023)</f>
        <v>42742.49616</v>
      </c>
      <c r="C4582" s="1" t="str">
        <f>IFERROR(__xludf.DUMMYFUNCTION("""COMPUTED_VALUE"""),"treatment")</f>
        <v>treatment</v>
      </c>
      <c r="D4582" s="1" t="str">
        <f>IFERROR(__xludf.DUMMYFUNCTION("""COMPUTED_VALUE"""),"new_page")</f>
        <v>new_page</v>
      </c>
      <c r="E4582" s="1">
        <f>IFERROR(__xludf.DUMMYFUNCTION("""COMPUTED_VALUE"""),0.0)</f>
        <v>0</v>
      </c>
    </row>
    <row r="4583">
      <c r="A4583" s="1">
        <f>IFERROR(__xludf.DUMMYFUNCTION("""COMPUTED_VALUE"""),747810.0)</f>
        <v>747810</v>
      </c>
      <c r="B4583" s="2">
        <f>IFERROR(__xludf.DUMMYFUNCTION("""COMPUTED_VALUE"""),42753.77609663579)</f>
        <v>42753.7761</v>
      </c>
      <c r="C4583" s="1" t="str">
        <f>IFERROR(__xludf.DUMMYFUNCTION("""COMPUTED_VALUE"""),"treatment")</f>
        <v>treatment</v>
      </c>
      <c r="D4583" s="1" t="str">
        <f>IFERROR(__xludf.DUMMYFUNCTION("""COMPUTED_VALUE"""),"new_page")</f>
        <v>new_page</v>
      </c>
      <c r="E4583" s="1">
        <f>IFERROR(__xludf.DUMMYFUNCTION("""COMPUTED_VALUE"""),1.0)</f>
        <v>1</v>
      </c>
    </row>
    <row r="4584">
      <c r="A4584" s="1">
        <f>IFERROR(__xludf.DUMMYFUNCTION("""COMPUTED_VALUE"""),784466.0)</f>
        <v>784466</v>
      </c>
      <c r="B4584" s="2">
        <f>IFERROR(__xludf.DUMMYFUNCTION("""COMPUTED_VALUE"""),42750.29613218801)</f>
        <v>42750.29613</v>
      </c>
      <c r="C4584" s="1" t="str">
        <f>IFERROR(__xludf.DUMMYFUNCTION("""COMPUTED_VALUE"""),"control")</f>
        <v>control</v>
      </c>
      <c r="D4584" s="1" t="str">
        <f>IFERROR(__xludf.DUMMYFUNCTION("""COMPUTED_VALUE"""),"old_page")</f>
        <v>old_page</v>
      </c>
      <c r="E4584" s="1">
        <f>IFERROR(__xludf.DUMMYFUNCTION("""COMPUTED_VALUE"""),0.0)</f>
        <v>0</v>
      </c>
    </row>
    <row r="4585">
      <c r="A4585" s="1">
        <f>IFERROR(__xludf.DUMMYFUNCTION("""COMPUTED_VALUE"""),685256.0)</f>
        <v>685256</v>
      </c>
      <c r="B4585" s="2">
        <f>IFERROR(__xludf.DUMMYFUNCTION("""COMPUTED_VALUE"""),42743.905848620554)</f>
        <v>42743.90585</v>
      </c>
      <c r="C4585" s="1" t="str">
        <f>IFERROR(__xludf.DUMMYFUNCTION("""COMPUTED_VALUE"""),"treatment")</f>
        <v>treatment</v>
      </c>
      <c r="D4585" s="1" t="str">
        <f>IFERROR(__xludf.DUMMYFUNCTION("""COMPUTED_VALUE"""),"new_page")</f>
        <v>new_page</v>
      </c>
      <c r="E4585" s="1">
        <f>IFERROR(__xludf.DUMMYFUNCTION("""COMPUTED_VALUE"""),1.0)</f>
        <v>1</v>
      </c>
    </row>
    <row r="4586">
      <c r="A4586" s="1">
        <f>IFERROR(__xludf.DUMMYFUNCTION("""COMPUTED_VALUE"""),688901.0)</f>
        <v>688901</v>
      </c>
      <c r="B4586" s="2">
        <f>IFERROR(__xludf.DUMMYFUNCTION("""COMPUTED_VALUE"""),42737.57584038164)</f>
        <v>42737.57584</v>
      </c>
      <c r="C4586" s="1" t="str">
        <f>IFERROR(__xludf.DUMMYFUNCTION("""COMPUTED_VALUE"""),"treatment")</f>
        <v>treatment</v>
      </c>
      <c r="D4586" s="1" t="str">
        <f>IFERROR(__xludf.DUMMYFUNCTION("""COMPUTED_VALUE"""),"new_page")</f>
        <v>new_page</v>
      </c>
      <c r="E4586" s="1">
        <f>IFERROR(__xludf.DUMMYFUNCTION("""COMPUTED_VALUE"""),0.0)</f>
        <v>0</v>
      </c>
    </row>
    <row r="4587">
      <c r="A4587" s="1">
        <f>IFERROR(__xludf.DUMMYFUNCTION("""COMPUTED_VALUE"""),821935.0)</f>
        <v>821935</v>
      </c>
      <c r="B4587" s="2">
        <f>IFERROR(__xludf.DUMMYFUNCTION("""COMPUTED_VALUE"""),42743.83381656699)</f>
        <v>42743.83382</v>
      </c>
      <c r="C4587" s="1" t="str">
        <f>IFERROR(__xludf.DUMMYFUNCTION("""COMPUTED_VALUE"""),"control")</f>
        <v>control</v>
      </c>
      <c r="D4587" s="1" t="str">
        <f>IFERROR(__xludf.DUMMYFUNCTION("""COMPUTED_VALUE"""),"old_page")</f>
        <v>old_page</v>
      </c>
      <c r="E4587" s="1">
        <f>IFERROR(__xludf.DUMMYFUNCTION("""COMPUTED_VALUE"""),0.0)</f>
        <v>0</v>
      </c>
    </row>
    <row r="4588">
      <c r="A4588" s="1">
        <f>IFERROR(__xludf.DUMMYFUNCTION("""COMPUTED_VALUE"""),632676.0)</f>
        <v>632676</v>
      </c>
      <c r="B4588" s="2">
        <f>IFERROR(__xludf.DUMMYFUNCTION("""COMPUTED_VALUE"""),42756.48250072162)</f>
        <v>42756.4825</v>
      </c>
      <c r="C4588" s="1" t="str">
        <f>IFERROR(__xludf.DUMMYFUNCTION("""COMPUTED_VALUE"""),"treatment")</f>
        <v>treatment</v>
      </c>
      <c r="D4588" s="1" t="str">
        <f>IFERROR(__xludf.DUMMYFUNCTION("""COMPUTED_VALUE"""),"new_page")</f>
        <v>new_page</v>
      </c>
      <c r="E4588" s="1">
        <f>IFERROR(__xludf.DUMMYFUNCTION("""COMPUTED_VALUE"""),0.0)</f>
        <v>0</v>
      </c>
    </row>
    <row r="4589">
      <c r="A4589" s="1">
        <f>IFERROR(__xludf.DUMMYFUNCTION("""COMPUTED_VALUE"""),806421.0)</f>
        <v>806421</v>
      </c>
      <c r="B4589" s="2">
        <f>IFERROR(__xludf.DUMMYFUNCTION("""COMPUTED_VALUE"""),42743.65613756161)</f>
        <v>42743.65614</v>
      </c>
      <c r="C4589" s="1" t="str">
        <f>IFERROR(__xludf.DUMMYFUNCTION("""COMPUTED_VALUE"""),"control")</f>
        <v>control</v>
      </c>
      <c r="D4589" s="1" t="str">
        <f>IFERROR(__xludf.DUMMYFUNCTION("""COMPUTED_VALUE"""),"old_page")</f>
        <v>old_page</v>
      </c>
      <c r="E4589" s="1">
        <f>IFERROR(__xludf.DUMMYFUNCTION("""COMPUTED_VALUE"""),0.0)</f>
        <v>0</v>
      </c>
    </row>
    <row r="4590">
      <c r="A4590" s="1">
        <f>IFERROR(__xludf.DUMMYFUNCTION("""COMPUTED_VALUE"""),821281.0)</f>
        <v>821281</v>
      </c>
      <c r="B4590" s="2">
        <f>IFERROR(__xludf.DUMMYFUNCTION("""COMPUTED_VALUE"""),42740.00404304636)</f>
        <v>42740.00404</v>
      </c>
      <c r="C4590" s="1" t="str">
        <f>IFERROR(__xludf.DUMMYFUNCTION("""COMPUTED_VALUE"""),"control")</f>
        <v>control</v>
      </c>
      <c r="D4590" s="1" t="str">
        <f>IFERROR(__xludf.DUMMYFUNCTION("""COMPUTED_VALUE"""),"old_page")</f>
        <v>old_page</v>
      </c>
      <c r="E4590" s="1">
        <f>IFERROR(__xludf.DUMMYFUNCTION("""COMPUTED_VALUE"""),0.0)</f>
        <v>0</v>
      </c>
    </row>
    <row r="4591">
      <c r="A4591" s="1">
        <f>IFERROR(__xludf.DUMMYFUNCTION("""COMPUTED_VALUE"""),696031.0)</f>
        <v>696031</v>
      </c>
      <c r="B4591" s="2">
        <f>IFERROR(__xludf.DUMMYFUNCTION("""COMPUTED_VALUE"""),42742.565845125784)</f>
        <v>42742.56585</v>
      </c>
      <c r="C4591" s="1" t="str">
        <f>IFERROR(__xludf.DUMMYFUNCTION("""COMPUTED_VALUE"""),"control")</f>
        <v>control</v>
      </c>
      <c r="D4591" s="1" t="str">
        <f>IFERROR(__xludf.DUMMYFUNCTION("""COMPUTED_VALUE"""),"old_page")</f>
        <v>old_page</v>
      </c>
      <c r="E4591" s="1">
        <f>IFERROR(__xludf.DUMMYFUNCTION("""COMPUTED_VALUE"""),1.0)</f>
        <v>1</v>
      </c>
    </row>
    <row r="4592">
      <c r="A4592" s="1">
        <f>IFERROR(__xludf.DUMMYFUNCTION("""COMPUTED_VALUE"""),881974.0)</f>
        <v>881974</v>
      </c>
      <c r="B4592" s="2">
        <f>IFERROR(__xludf.DUMMYFUNCTION("""COMPUTED_VALUE"""),42758.763493024824)</f>
        <v>42758.76349</v>
      </c>
      <c r="C4592" s="1" t="str">
        <f>IFERROR(__xludf.DUMMYFUNCTION("""COMPUTED_VALUE"""),"treatment")</f>
        <v>treatment</v>
      </c>
      <c r="D4592" s="1" t="str">
        <f>IFERROR(__xludf.DUMMYFUNCTION("""COMPUTED_VALUE"""),"new_page")</f>
        <v>new_page</v>
      </c>
      <c r="E4592" s="1">
        <f>IFERROR(__xludf.DUMMYFUNCTION("""COMPUTED_VALUE"""),0.0)</f>
        <v>0</v>
      </c>
    </row>
    <row r="4593">
      <c r="A4593" s="1">
        <f>IFERROR(__xludf.DUMMYFUNCTION("""COMPUTED_VALUE"""),798980.0)</f>
        <v>798980</v>
      </c>
      <c r="B4593" s="2">
        <f>IFERROR(__xludf.DUMMYFUNCTION("""COMPUTED_VALUE"""),42741.76602497403)</f>
        <v>42741.76602</v>
      </c>
      <c r="C4593" s="1" t="str">
        <f>IFERROR(__xludf.DUMMYFUNCTION("""COMPUTED_VALUE"""),"control")</f>
        <v>control</v>
      </c>
      <c r="D4593" s="1" t="str">
        <f>IFERROR(__xludf.DUMMYFUNCTION("""COMPUTED_VALUE"""),"old_page")</f>
        <v>old_page</v>
      </c>
      <c r="E4593" s="1">
        <f>IFERROR(__xludf.DUMMYFUNCTION("""COMPUTED_VALUE"""),0.0)</f>
        <v>0</v>
      </c>
    </row>
    <row r="4594">
      <c r="A4594" s="1">
        <f>IFERROR(__xludf.DUMMYFUNCTION("""COMPUTED_VALUE"""),811639.0)</f>
        <v>811639</v>
      </c>
      <c r="B4594" s="2">
        <f>IFERROR(__xludf.DUMMYFUNCTION("""COMPUTED_VALUE"""),42752.66834543684)</f>
        <v>42752.66835</v>
      </c>
      <c r="C4594" s="1" t="str">
        <f>IFERROR(__xludf.DUMMYFUNCTION("""COMPUTED_VALUE"""),"treatment")</f>
        <v>treatment</v>
      </c>
      <c r="D4594" s="1" t="str">
        <f>IFERROR(__xludf.DUMMYFUNCTION("""COMPUTED_VALUE"""),"new_page")</f>
        <v>new_page</v>
      </c>
      <c r="E4594" s="1">
        <f>IFERROR(__xludf.DUMMYFUNCTION("""COMPUTED_VALUE"""),1.0)</f>
        <v>1</v>
      </c>
    </row>
    <row r="4595">
      <c r="A4595" s="1">
        <f>IFERROR(__xludf.DUMMYFUNCTION("""COMPUTED_VALUE"""),811390.0)</f>
        <v>811390</v>
      </c>
      <c r="B4595" s="2">
        <f>IFERROR(__xludf.DUMMYFUNCTION("""COMPUTED_VALUE"""),42746.45305754364)</f>
        <v>42746.45306</v>
      </c>
      <c r="C4595" s="1" t="str">
        <f>IFERROR(__xludf.DUMMYFUNCTION("""COMPUTED_VALUE"""),"control")</f>
        <v>control</v>
      </c>
      <c r="D4595" s="1" t="str">
        <f>IFERROR(__xludf.DUMMYFUNCTION("""COMPUTED_VALUE"""),"old_page")</f>
        <v>old_page</v>
      </c>
      <c r="E4595" s="1">
        <f>IFERROR(__xludf.DUMMYFUNCTION("""COMPUTED_VALUE"""),0.0)</f>
        <v>0</v>
      </c>
    </row>
    <row r="4596">
      <c r="A4596" s="1">
        <f>IFERROR(__xludf.DUMMYFUNCTION("""COMPUTED_VALUE"""),889662.0)</f>
        <v>889662</v>
      </c>
      <c r="B4596" s="2">
        <f>IFERROR(__xludf.DUMMYFUNCTION("""COMPUTED_VALUE"""),42744.31141348971)</f>
        <v>42744.31141</v>
      </c>
      <c r="C4596" s="1" t="str">
        <f>IFERROR(__xludf.DUMMYFUNCTION("""COMPUTED_VALUE"""),"control")</f>
        <v>control</v>
      </c>
      <c r="D4596" s="1" t="str">
        <f>IFERROR(__xludf.DUMMYFUNCTION("""COMPUTED_VALUE"""),"old_page")</f>
        <v>old_page</v>
      </c>
      <c r="E4596" s="1">
        <f>IFERROR(__xludf.DUMMYFUNCTION("""COMPUTED_VALUE"""),0.0)</f>
        <v>0</v>
      </c>
    </row>
    <row r="4597">
      <c r="A4597" s="1">
        <f>IFERROR(__xludf.DUMMYFUNCTION("""COMPUTED_VALUE"""),863121.0)</f>
        <v>863121</v>
      </c>
      <c r="B4597" s="2">
        <f>IFERROR(__xludf.DUMMYFUNCTION("""COMPUTED_VALUE"""),42754.84915333603)</f>
        <v>42754.84915</v>
      </c>
      <c r="C4597" s="1" t="str">
        <f>IFERROR(__xludf.DUMMYFUNCTION("""COMPUTED_VALUE"""),"treatment")</f>
        <v>treatment</v>
      </c>
      <c r="D4597" s="1" t="str">
        <f>IFERROR(__xludf.DUMMYFUNCTION("""COMPUTED_VALUE"""),"new_page")</f>
        <v>new_page</v>
      </c>
      <c r="E4597" s="1">
        <f>IFERROR(__xludf.DUMMYFUNCTION("""COMPUTED_VALUE"""),0.0)</f>
        <v>0</v>
      </c>
    </row>
    <row r="4598">
      <c r="A4598" s="1">
        <f>IFERROR(__xludf.DUMMYFUNCTION("""COMPUTED_VALUE"""),775082.0)</f>
        <v>775082</v>
      </c>
      <c r="B4598" s="2">
        <f>IFERROR(__xludf.DUMMYFUNCTION("""COMPUTED_VALUE"""),42752.566789078955)</f>
        <v>42752.56679</v>
      </c>
      <c r="C4598" s="1" t="str">
        <f>IFERROR(__xludf.DUMMYFUNCTION("""COMPUTED_VALUE"""),"treatment")</f>
        <v>treatment</v>
      </c>
      <c r="D4598" s="1" t="str">
        <f>IFERROR(__xludf.DUMMYFUNCTION("""COMPUTED_VALUE"""),"new_page")</f>
        <v>new_page</v>
      </c>
      <c r="E4598" s="1">
        <f>IFERROR(__xludf.DUMMYFUNCTION("""COMPUTED_VALUE"""),0.0)</f>
        <v>0</v>
      </c>
    </row>
    <row r="4599">
      <c r="A4599" s="1">
        <f>IFERROR(__xludf.DUMMYFUNCTION("""COMPUTED_VALUE"""),824735.0)</f>
        <v>824735</v>
      </c>
      <c r="B4599" s="2">
        <f>IFERROR(__xludf.DUMMYFUNCTION("""COMPUTED_VALUE"""),42751.45196766405)</f>
        <v>42751.45197</v>
      </c>
      <c r="C4599" s="1" t="str">
        <f>IFERROR(__xludf.DUMMYFUNCTION("""COMPUTED_VALUE"""),"treatment")</f>
        <v>treatment</v>
      </c>
      <c r="D4599" s="1" t="str">
        <f>IFERROR(__xludf.DUMMYFUNCTION("""COMPUTED_VALUE"""),"new_page")</f>
        <v>new_page</v>
      </c>
      <c r="E4599" s="1">
        <f>IFERROR(__xludf.DUMMYFUNCTION("""COMPUTED_VALUE"""),0.0)</f>
        <v>0</v>
      </c>
    </row>
    <row r="4600">
      <c r="A4600" s="1">
        <f>IFERROR(__xludf.DUMMYFUNCTION("""COMPUTED_VALUE"""),809055.0)</f>
        <v>809055</v>
      </c>
      <c r="B4600" s="2">
        <f>IFERROR(__xludf.DUMMYFUNCTION("""COMPUTED_VALUE"""),42738.53956030613)</f>
        <v>42738.53956</v>
      </c>
      <c r="C4600" s="1" t="str">
        <f>IFERROR(__xludf.DUMMYFUNCTION("""COMPUTED_VALUE"""),"treatment")</f>
        <v>treatment</v>
      </c>
      <c r="D4600" s="1" t="str">
        <f>IFERROR(__xludf.DUMMYFUNCTION("""COMPUTED_VALUE"""),"new_page")</f>
        <v>new_page</v>
      </c>
      <c r="E4600" s="1">
        <f>IFERROR(__xludf.DUMMYFUNCTION("""COMPUTED_VALUE"""),0.0)</f>
        <v>0</v>
      </c>
    </row>
    <row r="4601">
      <c r="A4601" s="1">
        <f>IFERROR(__xludf.DUMMYFUNCTION("""COMPUTED_VALUE"""),902078.0)</f>
        <v>902078</v>
      </c>
      <c r="B4601" s="2">
        <f>IFERROR(__xludf.DUMMYFUNCTION("""COMPUTED_VALUE"""),42748.293772303194)</f>
        <v>42748.29377</v>
      </c>
      <c r="C4601" s="1" t="str">
        <f>IFERROR(__xludf.DUMMYFUNCTION("""COMPUTED_VALUE"""),"treatment")</f>
        <v>treatment</v>
      </c>
      <c r="D4601" s="1" t="str">
        <f>IFERROR(__xludf.DUMMYFUNCTION("""COMPUTED_VALUE"""),"new_page")</f>
        <v>new_page</v>
      </c>
      <c r="E4601" s="1">
        <f>IFERROR(__xludf.DUMMYFUNCTION("""COMPUTED_VALUE"""),0.0)</f>
        <v>0</v>
      </c>
    </row>
    <row r="4602">
      <c r="A4602" s="1">
        <f>IFERROR(__xludf.DUMMYFUNCTION("""COMPUTED_VALUE"""),781673.0)</f>
        <v>781673</v>
      </c>
      <c r="B4602" s="2">
        <f>IFERROR(__xludf.DUMMYFUNCTION("""COMPUTED_VALUE"""),42759.380118189285)</f>
        <v>42759.38012</v>
      </c>
      <c r="C4602" s="1" t="str">
        <f>IFERROR(__xludf.DUMMYFUNCTION("""COMPUTED_VALUE"""),"control")</f>
        <v>control</v>
      </c>
      <c r="D4602" s="1" t="str">
        <f>IFERROR(__xludf.DUMMYFUNCTION("""COMPUTED_VALUE"""),"old_page")</f>
        <v>old_page</v>
      </c>
      <c r="E4602" s="1">
        <f>IFERROR(__xludf.DUMMYFUNCTION("""COMPUTED_VALUE"""),0.0)</f>
        <v>0</v>
      </c>
    </row>
    <row r="4603">
      <c r="A4603" s="1">
        <f>IFERROR(__xludf.DUMMYFUNCTION("""COMPUTED_VALUE"""),650806.0)</f>
        <v>650806</v>
      </c>
      <c r="B4603" s="2">
        <f>IFERROR(__xludf.DUMMYFUNCTION("""COMPUTED_VALUE"""),42738.7869921919)</f>
        <v>42738.78699</v>
      </c>
      <c r="C4603" s="1" t="str">
        <f>IFERROR(__xludf.DUMMYFUNCTION("""COMPUTED_VALUE"""),"treatment")</f>
        <v>treatment</v>
      </c>
      <c r="D4603" s="1" t="str">
        <f>IFERROR(__xludf.DUMMYFUNCTION("""COMPUTED_VALUE"""),"new_page")</f>
        <v>new_page</v>
      </c>
      <c r="E4603" s="1">
        <f>IFERROR(__xludf.DUMMYFUNCTION("""COMPUTED_VALUE"""),0.0)</f>
        <v>0</v>
      </c>
    </row>
    <row r="4604">
      <c r="A4604" s="1">
        <f>IFERROR(__xludf.DUMMYFUNCTION("""COMPUTED_VALUE"""),656983.0)</f>
        <v>656983</v>
      </c>
      <c r="B4604" s="2">
        <f>IFERROR(__xludf.DUMMYFUNCTION("""COMPUTED_VALUE"""),42746.67429173267)</f>
        <v>42746.67429</v>
      </c>
      <c r="C4604" s="1" t="str">
        <f>IFERROR(__xludf.DUMMYFUNCTION("""COMPUTED_VALUE"""),"control")</f>
        <v>control</v>
      </c>
      <c r="D4604" s="1" t="str">
        <f>IFERROR(__xludf.DUMMYFUNCTION("""COMPUTED_VALUE"""),"old_page")</f>
        <v>old_page</v>
      </c>
      <c r="E4604" s="1">
        <f>IFERROR(__xludf.DUMMYFUNCTION("""COMPUTED_VALUE"""),0.0)</f>
        <v>0</v>
      </c>
    </row>
    <row r="4605">
      <c r="A4605" s="1">
        <f>IFERROR(__xludf.DUMMYFUNCTION("""COMPUTED_VALUE"""),854356.0)</f>
        <v>854356</v>
      </c>
      <c r="B4605" s="2">
        <f>IFERROR(__xludf.DUMMYFUNCTION("""COMPUTED_VALUE"""),42749.78562692305)</f>
        <v>42749.78563</v>
      </c>
      <c r="C4605" s="1" t="str">
        <f>IFERROR(__xludf.DUMMYFUNCTION("""COMPUTED_VALUE"""),"treatment")</f>
        <v>treatment</v>
      </c>
      <c r="D4605" s="1" t="str">
        <f>IFERROR(__xludf.DUMMYFUNCTION("""COMPUTED_VALUE"""),"new_page")</f>
        <v>new_page</v>
      </c>
      <c r="E4605" s="1">
        <f>IFERROR(__xludf.DUMMYFUNCTION("""COMPUTED_VALUE"""),0.0)</f>
        <v>0</v>
      </c>
    </row>
    <row r="4606">
      <c r="A4606" s="1">
        <f>IFERROR(__xludf.DUMMYFUNCTION("""COMPUTED_VALUE"""),893221.0)</f>
        <v>893221</v>
      </c>
      <c r="B4606" s="2">
        <f>IFERROR(__xludf.DUMMYFUNCTION("""COMPUTED_VALUE"""),42757.604175868735)</f>
        <v>42757.60418</v>
      </c>
      <c r="C4606" s="1" t="str">
        <f>IFERROR(__xludf.DUMMYFUNCTION("""COMPUTED_VALUE"""),"control")</f>
        <v>control</v>
      </c>
      <c r="D4606" s="1" t="str">
        <f>IFERROR(__xludf.DUMMYFUNCTION("""COMPUTED_VALUE"""),"old_page")</f>
        <v>old_page</v>
      </c>
      <c r="E4606" s="1">
        <f>IFERROR(__xludf.DUMMYFUNCTION("""COMPUTED_VALUE"""),0.0)</f>
        <v>0</v>
      </c>
    </row>
    <row r="4607">
      <c r="A4607" s="1">
        <f>IFERROR(__xludf.DUMMYFUNCTION("""COMPUTED_VALUE"""),683833.0)</f>
        <v>683833</v>
      </c>
      <c r="B4607" s="2">
        <f>IFERROR(__xludf.DUMMYFUNCTION("""COMPUTED_VALUE"""),42753.99205642972)</f>
        <v>42753.99206</v>
      </c>
      <c r="C4607" s="1" t="str">
        <f>IFERROR(__xludf.DUMMYFUNCTION("""COMPUTED_VALUE"""),"treatment")</f>
        <v>treatment</v>
      </c>
      <c r="D4607" s="1" t="str">
        <f>IFERROR(__xludf.DUMMYFUNCTION("""COMPUTED_VALUE"""),"new_page")</f>
        <v>new_page</v>
      </c>
      <c r="E4607" s="1">
        <f>IFERROR(__xludf.DUMMYFUNCTION("""COMPUTED_VALUE"""),0.0)</f>
        <v>0</v>
      </c>
    </row>
    <row r="4608">
      <c r="A4608" s="1">
        <f>IFERROR(__xludf.DUMMYFUNCTION("""COMPUTED_VALUE"""),640635.0)</f>
        <v>640635</v>
      </c>
      <c r="B4608" s="2">
        <f>IFERROR(__xludf.DUMMYFUNCTION("""COMPUTED_VALUE"""),42758.52774546329)</f>
        <v>42758.52775</v>
      </c>
      <c r="C4608" s="1" t="str">
        <f>IFERROR(__xludf.DUMMYFUNCTION("""COMPUTED_VALUE"""),"control")</f>
        <v>control</v>
      </c>
      <c r="D4608" s="1" t="str">
        <f>IFERROR(__xludf.DUMMYFUNCTION("""COMPUTED_VALUE"""),"old_page")</f>
        <v>old_page</v>
      </c>
      <c r="E4608" s="1">
        <f>IFERROR(__xludf.DUMMYFUNCTION("""COMPUTED_VALUE"""),0.0)</f>
        <v>0</v>
      </c>
    </row>
    <row r="4609">
      <c r="A4609" s="1">
        <f>IFERROR(__xludf.DUMMYFUNCTION("""COMPUTED_VALUE"""),721852.0)</f>
        <v>721852</v>
      </c>
      <c r="B4609" s="2">
        <f>IFERROR(__xludf.DUMMYFUNCTION("""COMPUTED_VALUE"""),42748.31611707391)</f>
        <v>42748.31612</v>
      </c>
      <c r="C4609" s="1" t="str">
        <f>IFERROR(__xludf.DUMMYFUNCTION("""COMPUTED_VALUE"""),"control")</f>
        <v>control</v>
      </c>
      <c r="D4609" s="1" t="str">
        <f>IFERROR(__xludf.DUMMYFUNCTION("""COMPUTED_VALUE"""),"old_page")</f>
        <v>old_page</v>
      </c>
      <c r="E4609" s="1">
        <f>IFERROR(__xludf.DUMMYFUNCTION("""COMPUTED_VALUE"""),0.0)</f>
        <v>0</v>
      </c>
    </row>
    <row r="4610">
      <c r="A4610" s="1">
        <f>IFERROR(__xludf.DUMMYFUNCTION("""COMPUTED_VALUE"""),899178.0)</f>
        <v>899178</v>
      </c>
      <c r="B4610" s="2">
        <f>IFERROR(__xludf.DUMMYFUNCTION("""COMPUTED_VALUE"""),42753.70641677947)</f>
        <v>42753.70642</v>
      </c>
      <c r="C4610" s="1" t="str">
        <f>IFERROR(__xludf.DUMMYFUNCTION("""COMPUTED_VALUE"""),"control")</f>
        <v>control</v>
      </c>
      <c r="D4610" s="1" t="str">
        <f>IFERROR(__xludf.DUMMYFUNCTION("""COMPUTED_VALUE"""),"old_page")</f>
        <v>old_page</v>
      </c>
      <c r="E4610" s="1">
        <f>IFERROR(__xludf.DUMMYFUNCTION("""COMPUTED_VALUE"""),0.0)</f>
        <v>0</v>
      </c>
    </row>
    <row r="4611">
      <c r="A4611" s="1">
        <f>IFERROR(__xludf.DUMMYFUNCTION("""COMPUTED_VALUE"""),909570.0)</f>
        <v>909570</v>
      </c>
      <c r="B4611" s="2">
        <f>IFERROR(__xludf.DUMMYFUNCTION("""COMPUTED_VALUE"""),42750.43444357568)</f>
        <v>42750.43444</v>
      </c>
      <c r="C4611" s="1" t="str">
        <f>IFERROR(__xludf.DUMMYFUNCTION("""COMPUTED_VALUE"""),"treatment")</f>
        <v>treatment</v>
      </c>
      <c r="D4611" s="1" t="str">
        <f>IFERROR(__xludf.DUMMYFUNCTION("""COMPUTED_VALUE"""),"new_page")</f>
        <v>new_page</v>
      </c>
      <c r="E4611" s="1">
        <f>IFERROR(__xludf.DUMMYFUNCTION("""COMPUTED_VALUE"""),0.0)</f>
        <v>0</v>
      </c>
    </row>
    <row r="4612">
      <c r="A4612" s="1">
        <f>IFERROR(__xludf.DUMMYFUNCTION("""COMPUTED_VALUE"""),866450.0)</f>
        <v>866450</v>
      </c>
      <c r="B4612" s="2">
        <f>IFERROR(__xludf.DUMMYFUNCTION("""COMPUTED_VALUE"""),42750.803174843066)</f>
        <v>42750.80317</v>
      </c>
      <c r="C4612" s="1" t="str">
        <f>IFERROR(__xludf.DUMMYFUNCTION("""COMPUTED_VALUE"""),"control")</f>
        <v>control</v>
      </c>
      <c r="D4612" s="1" t="str">
        <f>IFERROR(__xludf.DUMMYFUNCTION("""COMPUTED_VALUE"""),"old_page")</f>
        <v>old_page</v>
      </c>
      <c r="E4612" s="1">
        <f>IFERROR(__xludf.DUMMYFUNCTION("""COMPUTED_VALUE"""),0.0)</f>
        <v>0</v>
      </c>
    </row>
    <row r="4613">
      <c r="A4613" s="1">
        <f>IFERROR(__xludf.DUMMYFUNCTION("""COMPUTED_VALUE"""),653235.0)</f>
        <v>653235</v>
      </c>
      <c r="B4613" s="2">
        <f>IFERROR(__xludf.DUMMYFUNCTION("""COMPUTED_VALUE"""),42755.759111046136)</f>
        <v>42755.75911</v>
      </c>
      <c r="C4613" s="1" t="str">
        <f>IFERROR(__xludf.DUMMYFUNCTION("""COMPUTED_VALUE"""),"treatment")</f>
        <v>treatment</v>
      </c>
      <c r="D4613" s="1" t="str">
        <f>IFERROR(__xludf.DUMMYFUNCTION("""COMPUTED_VALUE"""),"new_page")</f>
        <v>new_page</v>
      </c>
      <c r="E4613" s="1">
        <f>IFERROR(__xludf.DUMMYFUNCTION("""COMPUTED_VALUE"""),0.0)</f>
        <v>0</v>
      </c>
    </row>
    <row r="4614">
      <c r="A4614" s="1">
        <f>IFERROR(__xludf.DUMMYFUNCTION("""COMPUTED_VALUE"""),874781.0)</f>
        <v>874781</v>
      </c>
      <c r="B4614" s="2">
        <f>IFERROR(__xludf.DUMMYFUNCTION("""COMPUTED_VALUE"""),42759.343569006574)</f>
        <v>42759.34357</v>
      </c>
      <c r="C4614" s="1" t="str">
        <f>IFERROR(__xludf.DUMMYFUNCTION("""COMPUTED_VALUE"""),"treatment")</f>
        <v>treatment</v>
      </c>
      <c r="D4614" s="1" t="str">
        <f>IFERROR(__xludf.DUMMYFUNCTION("""COMPUTED_VALUE"""),"new_page")</f>
        <v>new_page</v>
      </c>
      <c r="E4614" s="1">
        <f>IFERROR(__xludf.DUMMYFUNCTION("""COMPUTED_VALUE"""),0.0)</f>
        <v>0</v>
      </c>
    </row>
    <row r="4615">
      <c r="A4615" s="1">
        <f>IFERROR(__xludf.DUMMYFUNCTION("""COMPUTED_VALUE"""),667515.0)</f>
        <v>667515</v>
      </c>
      <c r="B4615" s="2">
        <f>IFERROR(__xludf.DUMMYFUNCTION("""COMPUTED_VALUE"""),42743.298608080244)</f>
        <v>42743.29861</v>
      </c>
      <c r="C4615" s="1" t="str">
        <f>IFERROR(__xludf.DUMMYFUNCTION("""COMPUTED_VALUE"""),"control")</f>
        <v>control</v>
      </c>
      <c r="D4615" s="1" t="str">
        <f>IFERROR(__xludf.DUMMYFUNCTION("""COMPUTED_VALUE"""),"old_page")</f>
        <v>old_page</v>
      </c>
      <c r="E4615" s="1">
        <f>IFERROR(__xludf.DUMMYFUNCTION("""COMPUTED_VALUE"""),0.0)</f>
        <v>0</v>
      </c>
    </row>
    <row r="4616">
      <c r="A4616" s="1">
        <f>IFERROR(__xludf.DUMMYFUNCTION("""COMPUTED_VALUE"""),794047.0)</f>
        <v>794047</v>
      </c>
      <c r="B4616" s="2">
        <f>IFERROR(__xludf.DUMMYFUNCTION("""COMPUTED_VALUE"""),42742.23573113802)</f>
        <v>42742.23573</v>
      </c>
      <c r="C4616" s="1" t="str">
        <f>IFERROR(__xludf.DUMMYFUNCTION("""COMPUTED_VALUE"""),"treatment")</f>
        <v>treatment</v>
      </c>
      <c r="D4616" s="1" t="str">
        <f>IFERROR(__xludf.DUMMYFUNCTION("""COMPUTED_VALUE"""),"new_page")</f>
        <v>new_page</v>
      </c>
      <c r="E4616" s="1">
        <f>IFERROR(__xludf.DUMMYFUNCTION("""COMPUTED_VALUE"""),0.0)</f>
        <v>0</v>
      </c>
    </row>
    <row r="4617">
      <c r="A4617" s="1">
        <f>IFERROR(__xludf.DUMMYFUNCTION("""COMPUTED_VALUE"""),642115.0)</f>
        <v>642115</v>
      </c>
      <c r="B4617" s="2">
        <f>IFERROR(__xludf.DUMMYFUNCTION("""COMPUTED_VALUE"""),42756.23088522228)</f>
        <v>42756.23089</v>
      </c>
      <c r="C4617" s="1" t="str">
        <f>IFERROR(__xludf.DUMMYFUNCTION("""COMPUTED_VALUE"""),"treatment")</f>
        <v>treatment</v>
      </c>
      <c r="D4617" s="1" t="str">
        <f>IFERROR(__xludf.DUMMYFUNCTION("""COMPUTED_VALUE"""),"new_page")</f>
        <v>new_page</v>
      </c>
      <c r="E4617" s="1">
        <f>IFERROR(__xludf.DUMMYFUNCTION("""COMPUTED_VALUE"""),1.0)</f>
        <v>1</v>
      </c>
    </row>
    <row r="4618">
      <c r="A4618" s="1">
        <f>IFERROR(__xludf.DUMMYFUNCTION("""COMPUTED_VALUE"""),682953.0)</f>
        <v>682953</v>
      </c>
      <c r="B4618" s="2">
        <f>IFERROR(__xludf.DUMMYFUNCTION("""COMPUTED_VALUE"""),42756.56178741979)</f>
        <v>42756.56179</v>
      </c>
      <c r="C4618" s="1" t="str">
        <f>IFERROR(__xludf.DUMMYFUNCTION("""COMPUTED_VALUE"""),"treatment")</f>
        <v>treatment</v>
      </c>
      <c r="D4618" s="1" t="str">
        <f>IFERROR(__xludf.DUMMYFUNCTION("""COMPUTED_VALUE"""),"new_page")</f>
        <v>new_page</v>
      </c>
      <c r="E4618" s="1">
        <f>IFERROR(__xludf.DUMMYFUNCTION("""COMPUTED_VALUE"""),0.0)</f>
        <v>0</v>
      </c>
    </row>
    <row r="4619">
      <c r="A4619" s="1">
        <f>IFERROR(__xludf.DUMMYFUNCTION("""COMPUTED_VALUE"""),825372.0)</f>
        <v>825372</v>
      </c>
      <c r="B4619" s="2">
        <f>IFERROR(__xludf.DUMMYFUNCTION("""COMPUTED_VALUE"""),42754.28216369022)</f>
        <v>42754.28216</v>
      </c>
      <c r="C4619" s="1" t="str">
        <f>IFERROR(__xludf.DUMMYFUNCTION("""COMPUTED_VALUE"""),"treatment")</f>
        <v>treatment</v>
      </c>
      <c r="D4619" s="1" t="str">
        <f>IFERROR(__xludf.DUMMYFUNCTION("""COMPUTED_VALUE"""),"new_page")</f>
        <v>new_page</v>
      </c>
      <c r="E4619" s="1">
        <f>IFERROR(__xludf.DUMMYFUNCTION("""COMPUTED_VALUE"""),0.0)</f>
        <v>0</v>
      </c>
    </row>
    <row r="4620">
      <c r="A4620" s="1">
        <f>IFERROR(__xludf.DUMMYFUNCTION("""COMPUTED_VALUE"""),630070.0)</f>
        <v>630070</v>
      </c>
      <c r="B4620" s="2">
        <f>IFERROR(__xludf.DUMMYFUNCTION("""COMPUTED_VALUE"""),42756.08457228206)</f>
        <v>42756.08457</v>
      </c>
      <c r="C4620" s="1" t="str">
        <f>IFERROR(__xludf.DUMMYFUNCTION("""COMPUTED_VALUE"""),"treatment")</f>
        <v>treatment</v>
      </c>
      <c r="D4620" s="1" t="str">
        <f>IFERROR(__xludf.DUMMYFUNCTION("""COMPUTED_VALUE"""),"new_page")</f>
        <v>new_page</v>
      </c>
      <c r="E4620" s="1">
        <f>IFERROR(__xludf.DUMMYFUNCTION("""COMPUTED_VALUE"""),0.0)</f>
        <v>0</v>
      </c>
    </row>
    <row r="4621">
      <c r="A4621" s="1">
        <f>IFERROR(__xludf.DUMMYFUNCTION("""COMPUTED_VALUE"""),916414.0)</f>
        <v>916414</v>
      </c>
      <c r="B4621" s="2">
        <f>IFERROR(__xludf.DUMMYFUNCTION("""COMPUTED_VALUE"""),42758.145040263065)</f>
        <v>42758.14504</v>
      </c>
      <c r="C4621" s="1" t="str">
        <f>IFERROR(__xludf.DUMMYFUNCTION("""COMPUTED_VALUE"""),"treatment")</f>
        <v>treatment</v>
      </c>
      <c r="D4621" s="1" t="str">
        <f>IFERROR(__xludf.DUMMYFUNCTION("""COMPUTED_VALUE"""),"new_page")</f>
        <v>new_page</v>
      </c>
      <c r="E4621" s="1">
        <f>IFERROR(__xludf.DUMMYFUNCTION("""COMPUTED_VALUE"""),0.0)</f>
        <v>0</v>
      </c>
    </row>
    <row r="4622">
      <c r="A4622" s="1">
        <f>IFERROR(__xludf.DUMMYFUNCTION("""COMPUTED_VALUE"""),817957.0)</f>
        <v>817957</v>
      </c>
      <c r="B4622" s="2">
        <f>IFERROR(__xludf.DUMMYFUNCTION("""COMPUTED_VALUE"""),42737.577324698854)</f>
        <v>42737.57732</v>
      </c>
      <c r="C4622" s="1" t="str">
        <f>IFERROR(__xludf.DUMMYFUNCTION("""COMPUTED_VALUE"""),"treatment")</f>
        <v>treatment</v>
      </c>
      <c r="D4622" s="1" t="str">
        <f>IFERROR(__xludf.DUMMYFUNCTION("""COMPUTED_VALUE"""),"new_page")</f>
        <v>new_page</v>
      </c>
      <c r="E4622" s="1">
        <f>IFERROR(__xludf.DUMMYFUNCTION("""COMPUTED_VALUE"""),0.0)</f>
        <v>0</v>
      </c>
    </row>
    <row r="4623">
      <c r="A4623" s="1">
        <f>IFERROR(__xludf.DUMMYFUNCTION("""COMPUTED_VALUE"""),865118.0)</f>
        <v>865118</v>
      </c>
      <c r="B4623" s="2">
        <f>IFERROR(__xludf.DUMMYFUNCTION("""COMPUTED_VALUE"""),42759.03874556867)</f>
        <v>42759.03875</v>
      </c>
      <c r="C4623" s="1" t="str">
        <f>IFERROR(__xludf.DUMMYFUNCTION("""COMPUTED_VALUE"""),"control")</f>
        <v>control</v>
      </c>
      <c r="D4623" s="1" t="str">
        <f>IFERROR(__xludf.DUMMYFUNCTION("""COMPUTED_VALUE"""),"old_page")</f>
        <v>old_page</v>
      </c>
      <c r="E4623" s="1">
        <f>IFERROR(__xludf.DUMMYFUNCTION("""COMPUTED_VALUE"""),0.0)</f>
        <v>0</v>
      </c>
    </row>
    <row r="4624">
      <c r="A4624" s="1">
        <f>IFERROR(__xludf.DUMMYFUNCTION("""COMPUTED_VALUE"""),920222.0)</f>
        <v>920222</v>
      </c>
      <c r="B4624" s="2">
        <f>IFERROR(__xludf.DUMMYFUNCTION("""COMPUTED_VALUE"""),42755.21314253175)</f>
        <v>42755.21314</v>
      </c>
      <c r="C4624" s="1" t="str">
        <f>IFERROR(__xludf.DUMMYFUNCTION("""COMPUTED_VALUE"""),"control")</f>
        <v>control</v>
      </c>
      <c r="D4624" s="1" t="str">
        <f>IFERROR(__xludf.DUMMYFUNCTION("""COMPUTED_VALUE"""),"old_page")</f>
        <v>old_page</v>
      </c>
      <c r="E4624" s="1">
        <f>IFERROR(__xludf.DUMMYFUNCTION("""COMPUTED_VALUE"""),0.0)</f>
        <v>0</v>
      </c>
    </row>
    <row r="4625">
      <c r="A4625" s="1">
        <f>IFERROR(__xludf.DUMMYFUNCTION("""COMPUTED_VALUE"""),782750.0)</f>
        <v>782750</v>
      </c>
      <c r="B4625" s="2">
        <f>IFERROR(__xludf.DUMMYFUNCTION("""COMPUTED_VALUE"""),42742.550139476734)</f>
        <v>42742.55014</v>
      </c>
      <c r="C4625" s="1" t="str">
        <f>IFERROR(__xludf.DUMMYFUNCTION("""COMPUTED_VALUE"""),"control")</f>
        <v>control</v>
      </c>
      <c r="D4625" s="1" t="str">
        <f>IFERROR(__xludf.DUMMYFUNCTION("""COMPUTED_VALUE"""),"old_page")</f>
        <v>old_page</v>
      </c>
      <c r="E4625" s="1">
        <f>IFERROR(__xludf.DUMMYFUNCTION("""COMPUTED_VALUE"""),0.0)</f>
        <v>0</v>
      </c>
    </row>
    <row r="4626">
      <c r="A4626" s="1">
        <f>IFERROR(__xludf.DUMMYFUNCTION("""COMPUTED_VALUE"""),802888.0)</f>
        <v>802888</v>
      </c>
      <c r="B4626" s="2">
        <f>IFERROR(__xludf.DUMMYFUNCTION("""COMPUTED_VALUE"""),42745.89385235922)</f>
        <v>42745.89385</v>
      </c>
      <c r="C4626" s="1" t="str">
        <f>IFERROR(__xludf.DUMMYFUNCTION("""COMPUTED_VALUE"""),"treatment")</f>
        <v>treatment</v>
      </c>
      <c r="D4626" s="1" t="str">
        <f>IFERROR(__xludf.DUMMYFUNCTION("""COMPUTED_VALUE"""),"new_page")</f>
        <v>new_page</v>
      </c>
      <c r="E4626" s="1">
        <f>IFERROR(__xludf.DUMMYFUNCTION("""COMPUTED_VALUE"""),0.0)</f>
        <v>0</v>
      </c>
    </row>
    <row r="4627">
      <c r="A4627" s="1">
        <f>IFERROR(__xludf.DUMMYFUNCTION("""COMPUTED_VALUE"""),935932.0)</f>
        <v>935932</v>
      </c>
      <c r="B4627" s="2">
        <f>IFERROR(__xludf.DUMMYFUNCTION("""COMPUTED_VALUE"""),42751.687135888795)</f>
        <v>42751.68714</v>
      </c>
      <c r="C4627" s="1" t="str">
        <f>IFERROR(__xludf.DUMMYFUNCTION("""COMPUTED_VALUE"""),"treatment")</f>
        <v>treatment</v>
      </c>
      <c r="D4627" s="1" t="str">
        <f>IFERROR(__xludf.DUMMYFUNCTION("""COMPUTED_VALUE"""),"new_page")</f>
        <v>new_page</v>
      </c>
      <c r="E4627" s="1">
        <f>IFERROR(__xludf.DUMMYFUNCTION("""COMPUTED_VALUE"""),0.0)</f>
        <v>0</v>
      </c>
    </row>
    <row r="4628">
      <c r="A4628" s="1">
        <f>IFERROR(__xludf.DUMMYFUNCTION("""COMPUTED_VALUE"""),634973.0)</f>
        <v>634973</v>
      </c>
      <c r="B4628" s="2">
        <f>IFERROR(__xludf.DUMMYFUNCTION("""COMPUTED_VALUE"""),42751.6831058282)</f>
        <v>42751.68311</v>
      </c>
      <c r="C4628" s="1" t="str">
        <f>IFERROR(__xludf.DUMMYFUNCTION("""COMPUTED_VALUE"""),"treatment")</f>
        <v>treatment</v>
      </c>
      <c r="D4628" s="1" t="str">
        <f>IFERROR(__xludf.DUMMYFUNCTION("""COMPUTED_VALUE"""),"new_page")</f>
        <v>new_page</v>
      </c>
      <c r="E4628" s="1">
        <f>IFERROR(__xludf.DUMMYFUNCTION("""COMPUTED_VALUE"""),0.0)</f>
        <v>0</v>
      </c>
    </row>
    <row r="4629">
      <c r="A4629" s="1">
        <f>IFERROR(__xludf.DUMMYFUNCTION("""COMPUTED_VALUE"""),806689.0)</f>
        <v>806689</v>
      </c>
      <c r="B4629" s="2">
        <f>IFERROR(__xludf.DUMMYFUNCTION("""COMPUTED_VALUE"""),42752.14826296625)</f>
        <v>42752.14826</v>
      </c>
      <c r="C4629" s="1" t="str">
        <f>IFERROR(__xludf.DUMMYFUNCTION("""COMPUTED_VALUE"""),"control")</f>
        <v>control</v>
      </c>
      <c r="D4629" s="1" t="str">
        <f>IFERROR(__xludf.DUMMYFUNCTION("""COMPUTED_VALUE"""),"old_page")</f>
        <v>old_page</v>
      </c>
      <c r="E4629" s="1">
        <f>IFERROR(__xludf.DUMMYFUNCTION("""COMPUTED_VALUE"""),0.0)</f>
        <v>0</v>
      </c>
    </row>
    <row r="4630">
      <c r="A4630" s="1">
        <f>IFERROR(__xludf.DUMMYFUNCTION("""COMPUTED_VALUE"""),778787.0)</f>
        <v>778787</v>
      </c>
      <c r="B4630" s="2">
        <f>IFERROR(__xludf.DUMMYFUNCTION("""COMPUTED_VALUE"""),42756.404092650795)</f>
        <v>42756.40409</v>
      </c>
      <c r="C4630" s="1" t="str">
        <f>IFERROR(__xludf.DUMMYFUNCTION("""COMPUTED_VALUE"""),"control")</f>
        <v>control</v>
      </c>
      <c r="D4630" s="1" t="str">
        <f>IFERROR(__xludf.DUMMYFUNCTION("""COMPUTED_VALUE"""),"old_page")</f>
        <v>old_page</v>
      </c>
      <c r="E4630" s="1">
        <f>IFERROR(__xludf.DUMMYFUNCTION("""COMPUTED_VALUE"""),0.0)</f>
        <v>0</v>
      </c>
    </row>
    <row r="4631">
      <c r="A4631" s="1">
        <f>IFERROR(__xludf.DUMMYFUNCTION("""COMPUTED_VALUE"""),903144.0)</f>
        <v>903144</v>
      </c>
      <c r="B4631" s="2">
        <f>IFERROR(__xludf.DUMMYFUNCTION("""COMPUTED_VALUE"""),42753.02427024403)</f>
        <v>42753.02427</v>
      </c>
      <c r="C4631" s="1" t="str">
        <f>IFERROR(__xludf.DUMMYFUNCTION("""COMPUTED_VALUE"""),"treatment")</f>
        <v>treatment</v>
      </c>
      <c r="D4631" s="1" t="str">
        <f>IFERROR(__xludf.DUMMYFUNCTION("""COMPUTED_VALUE"""),"new_page")</f>
        <v>new_page</v>
      </c>
      <c r="E4631" s="1">
        <f>IFERROR(__xludf.DUMMYFUNCTION("""COMPUTED_VALUE"""),1.0)</f>
        <v>1</v>
      </c>
    </row>
    <row r="4632">
      <c r="A4632" s="1">
        <f>IFERROR(__xludf.DUMMYFUNCTION("""COMPUTED_VALUE"""),767594.0)</f>
        <v>767594</v>
      </c>
      <c r="B4632" s="2">
        <f>IFERROR(__xludf.DUMMYFUNCTION("""COMPUTED_VALUE"""),42754.8058008814)</f>
        <v>42754.8058</v>
      </c>
      <c r="C4632" s="1" t="str">
        <f>IFERROR(__xludf.DUMMYFUNCTION("""COMPUTED_VALUE"""),"treatment")</f>
        <v>treatment</v>
      </c>
      <c r="D4632" s="1" t="str">
        <f>IFERROR(__xludf.DUMMYFUNCTION("""COMPUTED_VALUE"""),"new_page")</f>
        <v>new_page</v>
      </c>
      <c r="E4632" s="1">
        <f>IFERROR(__xludf.DUMMYFUNCTION("""COMPUTED_VALUE"""),1.0)</f>
        <v>1</v>
      </c>
    </row>
    <row r="4633">
      <c r="A4633" s="1">
        <f>IFERROR(__xludf.DUMMYFUNCTION("""COMPUTED_VALUE"""),845335.0)</f>
        <v>845335</v>
      </c>
      <c r="B4633" s="2">
        <f>IFERROR(__xludf.DUMMYFUNCTION("""COMPUTED_VALUE"""),42755.566730788945)</f>
        <v>42755.56673</v>
      </c>
      <c r="C4633" s="1" t="str">
        <f>IFERROR(__xludf.DUMMYFUNCTION("""COMPUTED_VALUE"""),"treatment")</f>
        <v>treatment</v>
      </c>
      <c r="D4633" s="1" t="str">
        <f>IFERROR(__xludf.DUMMYFUNCTION("""COMPUTED_VALUE"""),"new_page")</f>
        <v>new_page</v>
      </c>
      <c r="E4633" s="1">
        <f>IFERROR(__xludf.DUMMYFUNCTION("""COMPUTED_VALUE"""),1.0)</f>
        <v>1</v>
      </c>
    </row>
    <row r="4634">
      <c r="A4634" s="1">
        <f>IFERROR(__xludf.DUMMYFUNCTION("""COMPUTED_VALUE"""),866458.0)</f>
        <v>866458</v>
      </c>
      <c r="B4634" s="2">
        <f>IFERROR(__xludf.DUMMYFUNCTION("""COMPUTED_VALUE"""),42742.363931662316)</f>
        <v>42742.36393</v>
      </c>
      <c r="C4634" s="1" t="str">
        <f>IFERROR(__xludf.DUMMYFUNCTION("""COMPUTED_VALUE"""),"control")</f>
        <v>control</v>
      </c>
      <c r="D4634" s="1" t="str">
        <f>IFERROR(__xludf.DUMMYFUNCTION("""COMPUTED_VALUE"""),"old_page")</f>
        <v>old_page</v>
      </c>
      <c r="E4634" s="1">
        <f>IFERROR(__xludf.DUMMYFUNCTION("""COMPUTED_VALUE"""),0.0)</f>
        <v>0</v>
      </c>
    </row>
    <row r="4635">
      <c r="A4635" s="1">
        <f>IFERROR(__xludf.DUMMYFUNCTION("""COMPUTED_VALUE"""),900855.0)</f>
        <v>900855</v>
      </c>
      <c r="B4635" s="2">
        <f>IFERROR(__xludf.DUMMYFUNCTION("""COMPUTED_VALUE"""),42741.87781530779)</f>
        <v>42741.87782</v>
      </c>
      <c r="C4635" s="1" t="str">
        <f>IFERROR(__xludf.DUMMYFUNCTION("""COMPUTED_VALUE"""),"control")</f>
        <v>control</v>
      </c>
      <c r="D4635" s="1" t="str">
        <f>IFERROR(__xludf.DUMMYFUNCTION("""COMPUTED_VALUE"""),"old_page")</f>
        <v>old_page</v>
      </c>
      <c r="E4635" s="1">
        <f>IFERROR(__xludf.DUMMYFUNCTION("""COMPUTED_VALUE"""),0.0)</f>
        <v>0</v>
      </c>
    </row>
    <row r="4636">
      <c r="A4636" s="1">
        <f>IFERROR(__xludf.DUMMYFUNCTION("""COMPUTED_VALUE"""),848002.0)</f>
        <v>848002</v>
      </c>
      <c r="B4636" s="2">
        <f>IFERROR(__xludf.DUMMYFUNCTION("""COMPUTED_VALUE"""),42741.249677788)</f>
        <v>42741.24968</v>
      </c>
      <c r="C4636" s="1" t="str">
        <f>IFERROR(__xludf.DUMMYFUNCTION("""COMPUTED_VALUE"""),"treatment")</f>
        <v>treatment</v>
      </c>
      <c r="D4636" s="1" t="str">
        <f>IFERROR(__xludf.DUMMYFUNCTION("""COMPUTED_VALUE"""),"new_page")</f>
        <v>new_page</v>
      </c>
      <c r="E4636" s="1">
        <f>IFERROR(__xludf.DUMMYFUNCTION("""COMPUTED_VALUE"""),0.0)</f>
        <v>0</v>
      </c>
    </row>
    <row r="4637">
      <c r="A4637" s="1">
        <f>IFERROR(__xludf.DUMMYFUNCTION("""COMPUTED_VALUE"""),865978.0)</f>
        <v>865978</v>
      </c>
      <c r="B4637" s="2">
        <f>IFERROR(__xludf.DUMMYFUNCTION("""COMPUTED_VALUE"""),42756.21055161411)</f>
        <v>42756.21055</v>
      </c>
      <c r="C4637" s="1" t="str">
        <f>IFERROR(__xludf.DUMMYFUNCTION("""COMPUTED_VALUE"""),"treatment")</f>
        <v>treatment</v>
      </c>
      <c r="D4637" s="1" t="str">
        <f>IFERROR(__xludf.DUMMYFUNCTION("""COMPUTED_VALUE"""),"new_page")</f>
        <v>new_page</v>
      </c>
      <c r="E4637" s="1">
        <f>IFERROR(__xludf.DUMMYFUNCTION("""COMPUTED_VALUE"""),0.0)</f>
        <v>0</v>
      </c>
    </row>
    <row r="4638">
      <c r="A4638" s="1">
        <f>IFERROR(__xludf.DUMMYFUNCTION("""COMPUTED_VALUE"""),807578.0)</f>
        <v>807578</v>
      </c>
      <c r="B4638" s="2">
        <f>IFERROR(__xludf.DUMMYFUNCTION("""COMPUTED_VALUE"""),42752.03942261677)</f>
        <v>42752.03942</v>
      </c>
      <c r="C4638" s="1" t="str">
        <f>IFERROR(__xludf.DUMMYFUNCTION("""COMPUTED_VALUE"""),"control")</f>
        <v>control</v>
      </c>
      <c r="D4638" s="1" t="str">
        <f>IFERROR(__xludf.DUMMYFUNCTION("""COMPUTED_VALUE"""),"old_page")</f>
        <v>old_page</v>
      </c>
      <c r="E4638" s="1">
        <f>IFERROR(__xludf.DUMMYFUNCTION("""COMPUTED_VALUE"""),0.0)</f>
        <v>0</v>
      </c>
    </row>
    <row r="4639">
      <c r="A4639" s="1">
        <f>IFERROR(__xludf.DUMMYFUNCTION("""COMPUTED_VALUE"""),733522.0)</f>
        <v>733522</v>
      </c>
      <c r="B4639" s="2">
        <f>IFERROR(__xludf.DUMMYFUNCTION("""COMPUTED_VALUE"""),42756.08471715081)</f>
        <v>42756.08472</v>
      </c>
      <c r="C4639" s="1" t="str">
        <f>IFERROR(__xludf.DUMMYFUNCTION("""COMPUTED_VALUE"""),"treatment")</f>
        <v>treatment</v>
      </c>
      <c r="D4639" s="1" t="str">
        <f>IFERROR(__xludf.DUMMYFUNCTION("""COMPUTED_VALUE"""),"new_page")</f>
        <v>new_page</v>
      </c>
      <c r="E4639" s="1">
        <f>IFERROR(__xludf.DUMMYFUNCTION("""COMPUTED_VALUE"""),0.0)</f>
        <v>0</v>
      </c>
    </row>
    <row r="4640">
      <c r="A4640" s="1">
        <f>IFERROR(__xludf.DUMMYFUNCTION("""COMPUTED_VALUE"""),776614.0)</f>
        <v>776614</v>
      </c>
      <c r="B4640" s="2">
        <f>IFERROR(__xludf.DUMMYFUNCTION("""COMPUTED_VALUE"""),42755.35686594328)</f>
        <v>42755.35687</v>
      </c>
      <c r="C4640" s="1" t="str">
        <f>IFERROR(__xludf.DUMMYFUNCTION("""COMPUTED_VALUE"""),"treatment")</f>
        <v>treatment</v>
      </c>
      <c r="D4640" s="1" t="str">
        <f>IFERROR(__xludf.DUMMYFUNCTION("""COMPUTED_VALUE"""),"new_page")</f>
        <v>new_page</v>
      </c>
      <c r="E4640" s="1">
        <f>IFERROR(__xludf.DUMMYFUNCTION("""COMPUTED_VALUE"""),0.0)</f>
        <v>0</v>
      </c>
    </row>
    <row r="4641">
      <c r="A4641" s="1">
        <f>IFERROR(__xludf.DUMMYFUNCTION("""COMPUTED_VALUE"""),911715.0)</f>
        <v>911715</v>
      </c>
      <c r="B4641" s="2">
        <f>IFERROR(__xludf.DUMMYFUNCTION("""COMPUTED_VALUE"""),42758.47250605215)</f>
        <v>42758.47251</v>
      </c>
      <c r="C4641" s="1" t="str">
        <f>IFERROR(__xludf.DUMMYFUNCTION("""COMPUTED_VALUE"""),"control")</f>
        <v>control</v>
      </c>
      <c r="D4641" s="1" t="str">
        <f>IFERROR(__xludf.DUMMYFUNCTION("""COMPUTED_VALUE"""),"old_page")</f>
        <v>old_page</v>
      </c>
      <c r="E4641" s="1">
        <f>IFERROR(__xludf.DUMMYFUNCTION("""COMPUTED_VALUE"""),0.0)</f>
        <v>0</v>
      </c>
    </row>
    <row r="4642">
      <c r="A4642" s="1">
        <f>IFERROR(__xludf.DUMMYFUNCTION("""COMPUTED_VALUE"""),698427.0)</f>
        <v>698427</v>
      </c>
      <c r="B4642" s="2">
        <f>IFERROR(__xludf.DUMMYFUNCTION("""COMPUTED_VALUE"""),42739.94851392286)</f>
        <v>42739.94851</v>
      </c>
      <c r="C4642" s="1" t="str">
        <f>IFERROR(__xludf.DUMMYFUNCTION("""COMPUTED_VALUE"""),"control")</f>
        <v>control</v>
      </c>
      <c r="D4642" s="1" t="str">
        <f>IFERROR(__xludf.DUMMYFUNCTION("""COMPUTED_VALUE"""),"old_page")</f>
        <v>old_page</v>
      </c>
      <c r="E4642" s="1">
        <f>IFERROR(__xludf.DUMMYFUNCTION("""COMPUTED_VALUE"""),0.0)</f>
        <v>0</v>
      </c>
    </row>
    <row r="4643">
      <c r="A4643" s="1">
        <f>IFERROR(__xludf.DUMMYFUNCTION("""COMPUTED_VALUE"""),884393.0)</f>
        <v>884393</v>
      </c>
      <c r="B4643" s="2">
        <f>IFERROR(__xludf.DUMMYFUNCTION("""COMPUTED_VALUE"""),42757.47618540424)</f>
        <v>42757.47619</v>
      </c>
      <c r="C4643" s="1" t="str">
        <f>IFERROR(__xludf.DUMMYFUNCTION("""COMPUTED_VALUE"""),"control")</f>
        <v>control</v>
      </c>
      <c r="D4643" s="1" t="str">
        <f>IFERROR(__xludf.DUMMYFUNCTION("""COMPUTED_VALUE"""),"old_page")</f>
        <v>old_page</v>
      </c>
      <c r="E4643" s="1">
        <f>IFERROR(__xludf.DUMMYFUNCTION("""COMPUTED_VALUE"""),0.0)</f>
        <v>0</v>
      </c>
    </row>
    <row r="4644">
      <c r="A4644" s="1">
        <f>IFERROR(__xludf.DUMMYFUNCTION("""COMPUTED_VALUE"""),894102.0)</f>
        <v>894102</v>
      </c>
      <c r="B4644" s="2">
        <f>IFERROR(__xludf.DUMMYFUNCTION("""COMPUTED_VALUE"""),42743.46676169912)</f>
        <v>42743.46676</v>
      </c>
      <c r="C4644" s="1" t="str">
        <f>IFERROR(__xludf.DUMMYFUNCTION("""COMPUTED_VALUE"""),"control")</f>
        <v>control</v>
      </c>
      <c r="D4644" s="1" t="str">
        <f>IFERROR(__xludf.DUMMYFUNCTION("""COMPUTED_VALUE"""),"old_page")</f>
        <v>old_page</v>
      </c>
      <c r="E4644" s="1">
        <f>IFERROR(__xludf.DUMMYFUNCTION("""COMPUTED_VALUE"""),0.0)</f>
        <v>0</v>
      </c>
    </row>
    <row r="4645">
      <c r="A4645" s="1">
        <f>IFERROR(__xludf.DUMMYFUNCTION("""COMPUTED_VALUE"""),660357.0)</f>
        <v>660357</v>
      </c>
      <c r="B4645" s="2">
        <f>IFERROR(__xludf.DUMMYFUNCTION("""COMPUTED_VALUE"""),42747.32095162036)</f>
        <v>42747.32095</v>
      </c>
      <c r="C4645" s="1" t="str">
        <f>IFERROR(__xludf.DUMMYFUNCTION("""COMPUTED_VALUE"""),"treatment")</f>
        <v>treatment</v>
      </c>
      <c r="D4645" s="1" t="str">
        <f>IFERROR(__xludf.DUMMYFUNCTION("""COMPUTED_VALUE"""),"new_page")</f>
        <v>new_page</v>
      </c>
      <c r="E4645" s="1">
        <f>IFERROR(__xludf.DUMMYFUNCTION("""COMPUTED_VALUE"""),0.0)</f>
        <v>0</v>
      </c>
    </row>
    <row r="4646">
      <c r="A4646" s="1">
        <f>IFERROR(__xludf.DUMMYFUNCTION("""COMPUTED_VALUE"""),717606.0)</f>
        <v>717606</v>
      </c>
      <c r="B4646" s="2">
        <f>IFERROR(__xludf.DUMMYFUNCTION("""COMPUTED_VALUE"""),42754.7651540484)</f>
        <v>42754.76515</v>
      </c>
      <c r="C4646" s="1" t="str">
        <f>IFERROR(__xludf.DUMMYFUNCTION("""COMPUTED_VALUE"""),"control")</f>
        <v>control</v>
      </c>
      <c r="D4646" s="1" t="str">
        <f>IFERROR(__xludf.DUMMYFUNCTION("""COMPUTED_VALUE"""),"old_page")</f>
        <v>old_page</v>
      </c>
      <c r="E4646" s="1">
        <f>IFERROR(__xludf.DUMMYFUNCTION("""COMPUTED_VALUE"""),0.0)</f>
        <v>0</v>
      </c>
    </row>
    <row r="4647">
      <c r="A4647" s="1">
        <f>IFERROR(__xludf.DUMMYFUNCTION("""COMPUTED_VALUE"""),710518.0)</f>
        <v>710518</v>
      </c>
      <c r="B4647" s="2">
        <f>IFERROR(__xludf.DUMMYFUNCTION("""COMPUTED_VALUE"""),42748.13441172928)</f>
        <v>42748.13441</v>
      </c>
      <c r="C4647" s="1" t="str">
        <f>IFERROR(__xludf.DUMMYFUNCTION("""COMPUTED_VALUE"""),"control")</f>
        <v>control</v>
      </c>
      <c r="D4647" s="1" t="str">
        <f>IFERROR(__xludf.DUMMYFUNCTION("""COMPUTED_VALUE"""),"old_page")</f>
        <v>old_page</v>
      </c>
      <c r="E4647" s="1">
        <f>IFERROR(__xludf.DUMMYFUNCTION("""COMPUTED_VALUE"""),0.0)</f>
        <v>0</v>
      </c>
    </row>
    <row r="4648">
      <c r="A4648" s="1">
        <f>IFERROR(__xludf.DUMMYFUNCTION("""COMPUTED_VALUE"""),654209.0)</f>
        <v>654209</v>
      </c>
      <c r="B4648" s="2">
        <f>IFERROR(__xludf.DUMMYFUNCTION("""COMPUTED_VALUE"""),42753.85849975676)</f>
        <v>42753.8585</v>
      </c>
      <c r="C4648" s="1" t="str">
        <f>IFERROR(__xludf.DUMMYFUNCTION("""COMPUTED_VALUE"""),"treatment")</f>
        <v>treatment</v>
      </c>
      <c r="D4648" s="1" t="str">
        <f>IFERROR(__xludf.DUMMYFUNCTION("""COMPUTED_VALUE"""),"new_page")</f>
        <v>new_page</v>
      </c>
      <c r="E4648" s="1">
        <f>IFERROR(__xludf.DUMMYFUNCTION("""COMPUTED_VALUE"""),0.0)</f>
        <v>0</v>
      </c>
    </row>
    <row r="4649">
      <c r="A4649" s="1">
        <f>IFERROR(__xludf.DUMMYFUNCTION("""COMPUTED_VALUE"""),888771.0)</f>
        <v>888771</v>
      </c>
      <c r="B4649" s="2">
        <f>IFERROR(__xludf.DUMMYFUNCTION("""COMPUTED_VALUE"""),42742.45067254997)</f>
        <v>42742.45067</v>
      </c>
      <c r="C4649" s="1" t="str">
        <f>IFERROR(__xludf.DUMMYFUNCTION("""COMPUTED_VALUE"""),"control")</f>
        <v>control</v>
      </c>
      <c r="D4649" s="1" t="str">
        <f>IFERROR(__xludf.DUMMYFUNCTION("""COMPUTED_VALUE"""),"old_page")</f>
        <v>old_page</v>
      </c>
      <c r="E4649" s="1">
        <f>IFERROR(__xludf.DUMMYFUNCTION("""COMPUTED_VALUE"""),0.0)</f>
        <v>0</v>
      </c>
    </row>
    <row r="4650">
      <c r="A4650" s="1">
        <f>IFERROR(__xludf.DUMMYFUNCTION("""COMPUTED_VALUE"""),651706.0)</f>
        <v>651706</v>
      </c>
      <c r="B4650" s="2">
        <f>IFERROR(__xludf.DUMMYFUNCTION("""COMPUTED_VALUE"""),42752.32310517415)</f>
        <v>42752.32311</v>
      </c>
      <c r="C4650" s="1" t="str">
        <f>IFERROR(__xludf.DUMMYFUNCTION("""COMPUTED_VALUE"""),"control")</f>
        <v>control</v>
      </c>
      <c r="D4650" s="1" t="str">
        <f>IFERROR(__xludf.DUMMYFUNCTION("""COMPUTED_VALUE"""),"old_page")</f>
        <v>old_page</v>
      </c>
      <c r="E4650" s="1">
        <f>IFERROR(__xludf.DUMMYFUNCTION("""COMPUTED_VALUE"""),0.0)</f>
        <v>0</v>
      </c>
    </row>
    <row r="4651">
      <c r="A4651" s="1">
        <f>IFERROR(__xludf.DUMMYFUNCTION("""COMPUTED_VALUE"""),828185.0)</f>
        <v>828185</v>
      </c>
      <c r="B4651" s="2">
        <f>IFERROR(__xludf.DUMMYFUNCTION("""COMPUTED_VALUE"""),42752.30248949627)</f>
        <v>42752.30249</v>
      </c>
      <c r="C4651" s="1" t="str">
        <f>IFERROR(__xludf.DUMMYFUNCTION("""COMPUTED_VALUE"""),"control")</f>
        <v>control</v>
      </c>
      <c r="D4651" s="1" t="str">
        <f>IFERROR(__xludf.DUMMYFUNCTION("""COMPUTED_VALUE"""),"old_page")</f>
        <v>old_page</v>
      </c>
      <c r="E4651" s="1">
        <f>IFERROR(__xludf.DUMMYFUNCTION("""COMPUTED_VALUE"""),0.0)</f>
        <v>0</v>
      </c>
    </row>
    <row r="4652">
      <c r="A4652" s="1">
        <f>IFERROR(__xludf.DUMMYFUNCTION("""COMPUTED_VALUE"""),829178.0)</f>
        <v>829178</v>
      </c>
      <c r="B4652" s="2">
        <f>IFERROR(__xludf.DUMMYFUNCTION("""COMPUTED_VALUE"""),42746.68240909119)</f>
        <v>42746.68241</v>
      </c>
      <c r="C4652" s="1" t="str">
        <f>IFERROR(__xludf.DUMMYFUNCTION("""COMPUTED_VALUE"""),"control")</f>
        <v>control</v>
      </c>
      <c r="D4652" s="1" t="str">
        <f>IFERROR(__xludf.DUMMYFUNCTION("""COMPUTED_VALUE"""),"old_page")</f>
        <v>old_page</v>
      </c>
      <c r="E4652" s="1">
        <f>IFERROR(__xludf.DUMMYFUNCTION("""COMPUTED_VALUE"""),1.0)</f>
        <v>1</v>
      </c>
    </row>
    <row r="4653">
      <c r="A4653" s="1">
        <f>IFERROR(__xludf.DUMMYFUNCTION("""COMPUTED_VALUE"""),840527.0)</f>
        <v>840527</v>
      </c>
      <c r="B4653" s="2">
        <f>IFERROR(__xludf.DUMMYFUNCTION("""COMPUTED_VALUE"""),42751.87938560089)</f>
        <v>42751.87939</v>
      </c>
      <c r="C4653" s="1" t="str">
        <f>IFERROR(__xludf.DUMMYFUNCTION("""COMPUTED_VALUE"""),"treatment")</f>
        <v>treatment</v>
      </c>
      <c r="D4653" s="1" t="str">
        <f>IFERROR(__xludf.DUMMYFUNCTION("""COMPUTED_VALUE"""),"new_page")</f>
        <v>new_page</v>
      </c>
      <c r="E4653" s="1">
        <f>IFERROR(__xludf.DUMMYFUNCTION("""COMPUTED_VALUE"""),0.0)</f>
        <v>0</v>
      </c>
    </row>
    <row r="4654">
      <c r="A4654" s="1">
        <f>IFERROR(__xludf.DUMMYFUNCTION("""COMPUTED_VALUE"""),800617.0)</f>
        <v>800617</v>
      </c>
      <c r="B4654" s="2">
        <f>IFERROR(__xludf.DUMMYFUNCTION("""COMPUTED_VALUE"""),42751.56739327347)</f>
        <v>42751.56739</v>
      </c>
      <c r="C4654" s="1" t="str">
        <f>IFERROR(__xludf.DUMMYFUNCTION("""COMPUTED_VALUE"""),"control")</f>
        <v>control</v>
      </c>
      <c r="D4654" s="1" t="str">
        <f>IFERROR(__xludf.DUMMYFUNCTION("""COMPUTED_VALUE"""),"old_page")</f>
        <v>old_page</v>
      </c>
      <c r="E4654" s="1">
        <f>IFERROR(__xludf.DUMMYFUNCTION("""COMPUTED_VALUE"""),0.0)</f>
        <v>0</v>
      </c>
    </row>
    <row r="4655">
      <c r="A4655" s="1">
        <f>IFERROR(__xludf.DUMMYFUNCTION("""COMPUTED_VALUE"""),739617.0)</f>
        <v>739617</v>
      </c>
      <c r="B4655" s="2">
        <f>IFERROR(__xludf.DUMMYFUNCTION("""COMPUTED_VALUE"""),42744.6699341997)</f>
        <v>42744.66993</v>
      </c>
      <c r="C4655" s="1" t="str">
        <f>IFERROR(__xludf.DUMMYFUNCTION("""COMPUTED_VALUE"""),"control")</f>
        <v>control</v>
      </c>
      <c r="D4655" s="1" t="str">
        <f>IFERROR(__xludf.DUMMYFUNCTION("""COMPUTED_VALUE"""),"old_page")</f>
        <v>old_page</v>
      </c>
      <c r="E4655" s="1">
        <f>IFERROR(__xludf.DUMMYFUNCTION("""COMPUTED_VALUE"""),0.0)</f>
        <v>0</v>
      </c>
    </row>
    <row r="4656">
      <c r="A4656" s="1">
        <f>IFERROR(__xludf.DUMMYFUNCTION("""COMPUTED_VALUE"""),665490.0)</f>
        <v>665490</v>
      </c>
      <c r="B4656" s="2">
        <f>IFERROR(__xludf.DUMMYFUNCTION("""COMPUTED_VALUE"""),42742.93452145454)</f>
        <v>42742.93452</v>
      </c>
      <c r="C4656" s="1" t="str">
        <f>IFERROR(__xludf.DUMMYFUNCTION("""COMPUTED_VALUE"""),"treatment")</f>
        <v>treatment</v>
      </c>
      <c r="D4656" s="1" t="str">
        <f>IFERROR(__xludf.DUMMYFUNCTION("""COMPUTED_VALUE"""),"new_page")</f>
        <v>new_page</v>
      </c>
      <c r="E4656" s="1">
        <f>IFERROR(__xludf.DUMMYFUNCTION("""COMPUTED_VALUE"""),0.0)</f>
        <v>0</v>
      </c>
    </row>
    <row r="4657">
      <c r="A4657" s="1">
        <f>IFERROR(__xludf.DUMMYFUNCTION("""COMPUTED_VALUE"""),933250.0)</f>
        <v>933250</v>
      </c>
      <c r="B4657" s="2">
        <f>IFERROR(__xludf.DUMMYFUNCTION("""COMPUTED_VALUE"""),42749.787423561276)</f>
        <v>42749.78742</v>
      </c>
      <c r="C4657" s="1" t="str">
        <f>IFERROR(__xludf.DUMMYFUNCTION("""COMPUTED_VALUE"""),"control")</f>
        <v>control</v>
      </c>
      <c r="D4657" s="1" t="str">
        <f>IFERROR(__xludf.DUMMYFUNCTION("""COMPUTED_VALUE"""),"old_page")</f>
        <v>old_page</v>
      </c>
      <c r="E4657" s="1">
        <f>IFERROR(__xludf.DUMMYFUNCTION("""COMPUTED_VALUE"""),0.0)</f>
        <v>0</v>
      </c>
    </row>
    <row r="4658">
      <c r="A4658" s="1">
        <f>IFERROR(__xludf.DUMMYFUNCTION("""COMPUTED_VALUE"""),696990.0)</f>
        <v>696990</v>
      </c>
      <c r="B4658" s="2">
        <f>IFERROR(__xludf.DUMMYFUNCTION("""COMPUTED_VALUE"""),42759.26826470828)</f>
        <v>42759.26826</v>
      </c>
      <c r="C4658" s="1" t="str">
        <f>IFERROR(__xludf.DUMMYFUNCTION("""COMPUTED_VALUE"""),"control")</f>
        <v>control</v>
      </c>
      <c r="D4658" s="1" t="str">
        <f>IFERROR(__xludf.DUMMYFUNCTION("""COMPUTED_VALUE"""),"old_page")</f>
        <v>old_page</v>
      </c>
      <c r="E4658" s="1">
        <f>IFERROR(__xludf.DUMMYFUNCTION("""COMPUTED_VALUE"""),0.0)</f>
        <v>0</v>
      </c>
    </row>
    <row r="4659">
      <c r="A4659" s="1">
        <f>IFERROR(__xludf.DUMMYFUNCTION("""COMPUTED_VALUE"""),929735.0)</f>
        <v>929735</v>
      </c>
      <c r="B4659" s="2">
        <f>IFERROR(__xludf.DUMMYFUNCTION("""COMPUTED_VALUE"""),42743.695738840615)</f>
        <v>42743.69574</v>
      </c>
      <c r="C4659" s="1" t="str">
        <f>IFERROR(__xludf.DUMMYFUNCTION("""COMPUTED_VALUE"""),"control")</f>
        <v>control</v>
      </c>
      <c r="D4659" s="1" t="str">
        <f>IFERROR(__xludf.DUMMYFUNCTION("""COMPUTED_VALUE"""),"old_page")</f>
        <v>old_page</v>
      </c>
      <c r="E4659" s="1">
        <f>IFERROR(__xludf.DUMMYFUNCTION("""COMPUTED_VALUE"""),0.0)</f>
        <v>0</v>
      </c>
    </row>
    <row r="4660">
      <c r="A4660" s="1">
        <f>IFERROR(__xludf.DUMMYFUNCTION("""COMPUTED_VALUE"""),851909.0)</f>
        <v>851909</v>
      </c>
      <c r="B4660" s="2">
        <f>IFERROR(__xludf.DUMMYFUNCTION("""COMPUTED_VALUE"""),42750.18950202673)</f>
        <v>42750.1895</v>
      </c>
      <c r="C4660" s="1" t="str">
        <f>IFERROR(__xludf.DUMMYFUNCTION("""COMPUTED_VALUE"""),"control")</f>
        <v>control</v>
      </c>
      <c r="D4660" s="1" t="str">
        <f>IFERROR(__xludf.DUMMYFUNCTION("""COMPUTED_VALUE"""),"old_page")</f>
        <v>old_page</v>
      </c>
      <c r="E4660" s="1">
        <f>IFERROR(__xludf.DUMMYFUNCTION("""COMPUTED_VALUE"""),0.0)</f>
        <v>0</v>
      </c>
    </row>
    <row r="4661">
      <c r="A4661" s="1">
        <f>IFERROR(__xludf.DUMMYFUNCTION("""COMPUTED_VALUE"""),938277.0)</f>
        <v>938277</v>
      </c>
      <c r="B4661" s="2">
        <f>IFERROR(__xludf.DUMMYFUNCTION("""COMPUTED_VALUE"""),42757.31493594109)</f>
        <v>42757.31494</v>
      </c>
      <c r="C4661" s="1" t="str">
        <f>IFERROR(__xludf.DUMMYFUNCTION("""COMPUTED_VALUE"""),"control")</f>
        <v>control</v>
      </c>
      <c r="D4661" s="1" t="str">
        <f>IFERROR(__xludf.DUMMYFUNCTION("""COMPUTED_VALUE"""),"old_page")</f>
        <v>old_page</v>
      </c>
      <c r="E4661" s="1">
        <f>IFERROR(__xludf.DUMMYFUNCTION("""COMPUTED_VALUE"""),0.0)</f>
        <v>0</v>
      </c>
    </row>
    <row r="4662">
      <c r="A4662" s="1">
        <f>IFERROR(__xludf.DUMMYFUNCTION("""COMPUTED_VALUE"""),729712.0)</f>
        <v>729712</v>
      </c>
      <c r="B4662" s="2">
        <f>IFERROR(__xludf.DUMMYFUNCTION("""COMPUTED_VALUE"""),42755.110202268486)</f>
        <v>42755.1102</v>
      </c>
      <c r="C4662" s="1" t="str">
        <f>IFERROR(__xludf.DUMMYFUNCTION("""COMPUTED_VALUE"""),"treatment")</f>
        <v>treatment</v>
      </c>
      <c r="D4662" s="1" t="str">
        <f>IFERROR(__xludf.DUMMYFUNCTION("""COMPUTED_VALUE"""),"new_page")</f>
        <v>new_page</v>
      </c>
      <c r="E4662" s="1">
        <f>IFERROR(__xludf.DUMMYFUNCTION("""COMPUTED_VALUE"""),0.0)</f>
        <v>0</v>
      </c>
    </row>
    <row r="4663">
      <c r="A4663" s="1">
        <f>IFERROR(__xludf.DUMMYFUNCTION("""COMPUTED_VALUE"""),758123.0)</f>
        <v>758123</v>
      </c>
      <c r="B4663" s="2">
        <f>IFERROR(__xludf.DUMMYFUNCTION("""COMPUTED_VALUE"""),42741.8528548399)</f>
        <v>42741.85285</v>
      </c>
      <c r="C4663" s="1" t="str">
        <f>IFERROR(__xludf.DUMMYFUNCTION("""COMPUTED_VALUE"""),"control")</f>
        <v>control</v>
      </c>
      <c r="D4663" s="1" t="str">
        <f>IFERROR(__xludf.DUMMYFUNCTION("""COMPUTED_VALUE"""),"old_page")</f>
        <v>old_page</v>
      </c>
      <c r="E4663" s="1">
        <f>IFERROR(__xludf.DUMMYFUNCTION("""COMPUTED_VALUE"""),0.0)</f>
        <v>0</v>
      </c>
    </row>
    <row r="4664">
      <c r="A4664" s="1">
        <f>IFERROR(__xludf.DUMMYFUNCTION("""COMPUTED_VALUE"""),654191.0)</f>
        <v>654191</v>
      </c>
      <c r="B4664" s="2">
        <f>IFERROR(__xludf.DUMMYFUNCTION("""COMPUTED_VALUE"""),42738.81180766147)</f>
        <v>42738.81181</v>
      </c>
      <c r="C4664" s="1" t="str">
        <f>IFERROR(__xludf.DUMMYFUNCTION("""COMPUTED_VALUE"""),"control")</f>
        <v>control</v>
      </c>
      <c r="D4664" s="1" t="str">
        <f>IFERROR(__xludf.DUMMYFUNCTION("""COMPUTED_VALUE"""),"old_page")</f>
        <v>old_page</v>
      </c>
      <c r="E4664" s="1">
        <f>IFERROR(__xludf.DUMMYFUNCTION("""COMPUTED_VALUE"""),0.0)</f>
        <v>0</v>
      </c>
    </row>
    <row r="4665">
      <c r="A4665" s="1">
        <f>IFERROR(__xludf.DUMMYFUNCTION("""COMPUTED_VALUE"""),924523.0)</f>
        <v>924523</v>
      </c>
      <c r="B4665" s="2">
        <f>IFERROR(__xludf.DUMMYFUNCTION("""COMPUTED_VALUE"""),42750.240250117975)</f>
        <v>42750.24025</v>
      </c>
      <c r="C4665" s="1" t="str">
        <f>IFERROR(__xludf.DUMMYFUNCTION("""COMPUTED_VALUE"""),"treatment")</f>
        <v>treatment</v>
      </c>
      <c r="D4665" s="1" t="str">
        <f>IFERROR(__xludf.DUMMYFUNCTION("""COMPUTED_VALUE"""),"new_page")</f>
        <v>new_page</v>
      </c>
      <c r="E4665" s="1">
        <f>IFERROR(__xludf.DUMMYFUNCTION("""COMPUTED_VALUE"""),0.0)</f>
        <v>0</v>
      </c>
    </row>
    <row r="4666">
      <c r="A4666" s="1">
        <f>IFERROR(__xludf.DUMMYFUNCTION("""COMPUTED_VALUE"""),725824.0)</f>
        <v>725824</v>
      </c>
      <c r="B4666" s="2">
        <f>IFERROR(__xludf.DUMMYFUNCTION("""COMPUTED_VALUE"""),42759.124911464685)</f>
        <v>42759.12491</v>
      </c>
      <c r="C4666" s="1" t="str">
        <f>IFERROR(__xludf.DUMMYFUNCTION("""COMPUTED_VALUE"""),"treatment")</f>
        <v>treatment</v>
      </c>
      <c r="D4666" s="1" t="str">
        <f>IFERROR(__xludf.DUMMYFUNCTION("""COMPUTED_VALUE"""),"new_page")</f>
        <v>new_page</v>
      </c>
      <c r="E4666" s="1">
        <f>IFERROR(__xludf.DUMMYFUNCTION("""COMPUTED_VALUE"""),0.0)</f>
        <v>0</v>
      </c>
    </row>
    <row r="4667">
      <c r="A4667" s="1">
        <f>IFERROR(__xludf.DUMMYFUNCTION("""COMPUTED_VALUE"""),869347.0)</f>
        <v>869347</v>
      </c>
      <c r="B4667" s="2">
        <f>IFERROR(__xludf.DUMMYFUNCTION("""COMPUTED_VALUE"""),42740.79786745052)</f>
        <v>42740.79787</v>
      </c>
      <c r="C4667" s="1" t="str">
        <f>IFERROR(__xludf.DUMMYFUNCTION("""COMPUTED_VALUE"""),"treatment")</f>
        <v>treatment</v>
      </c>
      <c r="D4667" s="1" t="str">
        <f>IFERROR(__xludf.DUMMYFUNCTION("""COMPUTED_VALUE"""),"new_page")</f>
        <v>new_page</v>
      </c>
      <c r="E4667" s="1">
        <f>IFERROR(__xludf.DUMMYFUNCTION("""COMPUTED_VALUE"""),0.0)</f>
        <v>0</v>
      </c>
    </row>
    <row r="4668">
      <c r="A4668" s="1">
        <f>IFERROR(__xludf.DUMMYFUNCTION("""COMPUTED_VALUE"""),808956.0)</f>
        <v>808956</v>
      </c>
      <c r="B4668" s="2">
        <f>IFERROR(__xludf.DUMMYFUNCTION("""COMPUTED_VALUE"""),42753.63370469051)</f>
        <v>42753.6337</v>
      </c>
      <c r="C4668" s="1" t="str">
        <f>IFERROR(__xludf.DUMMYFUNCTION("""COMPUTED_VALUE"""),"control")</f>
        <v>control</v>
      </c>
      <c r="D4668" s="1" t="str">
        <f>IFERROR(__xludf.DUMMYFUNCTION("""COMPUTED_VALUE"""),"old_page")</f>
        <v>old_page</v>
      </c>
      <c r="E4668" s="1">
        <f>IFERROR(__xludf.DUMMYFUNCTION("""COMPUTED_VALUE"""),0.0)</f>
        <v>0</v>
      </c>
    </row>
    <row r="4669">
      <c r="A4669" s="1">
        <f>IFERROR(__xludf.DUMMYFUNCTION("""COMPUTED_VALUE"""),855489.0)</f>
        <v>855489</v>
      </c>
      <c r="B4669" s="2">
        <f>IFERROR(__xludf.DUMMYFUNCTION("""COMPUTED_VALUE"""),42757.18779071675)</f>
        <v>42757.18779</v>
      </c>
      <c r="C4669" s="1" t="str">
        <f>IFERROR(__xludf.DUMMYFUNCTION("""COMPUTED_VALUE"""),"control")</f>
        <v>control</v>
      </c>
      <c r="D4669" s="1" t="str">
        <f>IFERROR(__xludf.DUMMYFUNCTION("""COMPUTED_VALUE"""),"old_page")</f>
        <v>old_page</v>
      </c>
      <c r="E4669" s="1">
        <f>IFERROR(__xludf.DUMMYFUNCTION("""COMPUTED_VALUE"""),0.0)</f>
        <v>0</v>
      </c>
    </row>
    <row r="4670">
      <c r="A4670" s="1">
        <f>IFERROR(__xludf.DUMMYFUNCTION("""COMPUTED_VALUE"""),835450.0)</f>
        <v>835450</v>
      </c>
      <c r="B4670" s="2">
        <f>IFERROR(__xludf.DUMMYFUNCTION("""COMPUTED_VALUE"""),42738.06205656356)</f>
        <v>42738.06206</v>
      </c>
      <c r="C4670" s="1" t="str">
        <f>IFERROR(__xludf.DUMMYFUNCTION("""COMPUTED_VALUE"""),"treatment")</f>
        <v>treatment</v>
      </c>
      <c r="D4670" s="1" t="str">
        <f>IFERROR(__xludf.DUMMYFUNCTION("""COMPUTED_VALUE"""),"new_page")</f>
        <v>new_page</v>
      </c>
      <c r="E4670" s="1">
        <f>IFERROR(__xludf.DUMMYFUNCTION("""COMPUTED_VALUE"""),0.0)</f>
        <v>0</v>
      </c>
    </row>
    <row r="4671">
      <c r="A4671" s="1">
        <f>IFERROR(__xludf.DUMMYFUNCTION("""COMPUTED_VALUE"""),730591.0)</f>
        <v>730591</v>
      </c>
      <c r="B4671" s="2">
        <f>IFERROR(__xludf.DUMMYFUNCTION("""COMPUTED_VALUE"""),42738.853549707404)</f>
        <v>42738.85355</v>
      </c>
      <c r="C4671" s="1" t="str">
        <f>IFERROR(__xludf.DUMMYFUNCTION("""COMPUTED_VALUE"""),"control")</f>
        <v>control</v>
      </c>
      <c r="D4671" s="1" t="str">
        <f>IFERROR(__xludf.DUMMYFUNCTION("""COMPUTED_VALUE"""),"old_page")</f>
        <v>old_page</v>
      </c>
      <c r="E4671" s="1">
        <f>IFERROR(__xludf.DUMMYFUNCTION("""COMPUTED_VALUE"""),0.0)</f>
        <v>0</v>
      </c>
    </row>
    <row r="4672">
      <c r="A4672" s="1">
        <f>IFERROR(__xludf.DUMMYFUNCTION("""COMPUTED_VALUE"""),822926.0)</f>
        <v>822926</v>
      </c>
      <c r="B4672" s="2">
        <f>IFERROR(__xludf.DUMMYFUNCTION("""COMPUTED_VALUE"""),42741.66747706188)</f>
        <v>42741.66748</v>
      </c>
      <c r="C4672" s="1" t="str">
        <f>IFERROR(__xludf.DUMMYFUNCTION("""COMPUTED_VALUE"""),"control")</f>
        <v>control</v>
      </c>
      <c r="D4672" s="1" t="str">
        <f>IFERROR(__xludf.DUMMYFUNCTION("""COMPUTED_VALUE"""),"old_page")</f>
        <v>old_page</v>
      </c>
      <c r="E4672" s="1">
        <f>IFERROR(__xludf.DUMMYFUNCTION("""COMPUTED_VALUE"""),0.0)</f>
        <v>0</v>
      </c>
    </row>
    <row r="4673">
      <c r="A4673" s="1">
        <f>IFERROR(__xludf.DUMMYFUNCTION("""COMPUTED_VALUE"""),886624.0)</f>
        <v>886624</v>
      </c>
      <c r="B4673" s="2">
        <f>IFERROR(__xludf.DUMMYFUNCTION("""COMPUTED_VALUE"""),42752.59368672581)</f>
        <v>42752.59369</v>
      </c>
      <c r="C4673" s="1" t="str">
        <f>IFERROR(__xludf.DUMMYFUNCTION("""COMPUTED_VALUE"""),"control")</f>
        <v>control</v>
      </c>
      <c r="D4673" s="1" t="str">
        <f>IFERROR(__xludf.DUMMYFUNCTION("""COMPUTED_VALUE"""),"old_page")</f>
        <v>old_page</v>
      </c>
      <c r="E4673" s="1">
        <f>IFERROR(__xludf.DUMMYFUNCTION("""COMPUTED_VALUE"""),0.0)</f>
        <v>0</v>
      </c>
    </row>
    <row r="4674">
      <c r="A4674" s="1">
        <f>IFERROR(__xludf.DUMMYFUNCTION("""COMPUTED_VALUE"""),660914.0)</f>
        <v>660914</v>
      </c>
      <c r="B4674" s="2">
        <f>IFERROR(__xludf.DUMMYFUNCTION("""COMPUTED_VALUE"""),42738.147147344396)</f>
        <v>42738.14715</v>
      </c>
      <c r="C4674" s="1" t="str">
        <f>IFERROR(__xludf.DUMMYFUNCTION("""COMPUTED_VALUE"""),"control")</f>
        <v>control</v>
      </c>
      <c r="D4674" s="1" t="str">
        <f>IFERROR(__xludf.DUMMYFUNCTION("""COMPUTED_VALUE"""),"old_page")</f>
        <v>old_page</v>
      </c>
      <c r="E4674" s="1">
        <f>IFERROR(__xludf.DUMMYFUNCTION("""COMPUTED_VALUE"""),0.0)</f>
        <v>0</v>
      </c>
    </row>
    <row r="4675">
      <c r="A4675" s="1">
        <f>IFERROR(__xludf.DUMMYFUNCTION("""COMPUTED_VALUE"""),644363.0)</f>
        <v>644363</v>
      </c>
      <c r="B4675" s="2">
        <f>IFERROR(__xludf.DUMMYFUNCTION("""COMPUTED_VALUE"""),42754.759268103706)</f>
        <v>42754.75927</v>
      </c>
      <c r="C4675" s="1" t="str">
        <f>IFERROR(__xludf.DUMMYFUNCTION("""COMPUTED_VALUE"""),"treatment")</f>
        <v>treatment</v>
      </c>
      <c r="D4675" s="1" t="str">
        <f>IFERROR(__xludf.DUMMYFUNCTION("""COMPUTED_VALUE"""),"new_page")</f>
        <v>new_page</v>
      </c>
      <c r="E4675" s="1">
        <f>IFERROR(__xludf.DUMMYFUNCTION("""COMPUTED_VALUE"""),1.0)</f>
        <v>1</v>
      </c>
    </row>
    <row r="4676">
      <c r="A4676" s="1">
        <f>IFERROR(__xludf.DUMMYFUNCTION("""COMPUTED_VALUE"""),802007.0)</f>
        <v>802007</v>
      </c>
      <c r="B4676" s="2">
        <f>IFERROR(__xludf.DUMMYFUNCTION("""COMPUTED_VALUE"""),42750.565684492765)</f>
        <v>42750.56568</v>
      </c>
      <c r="C4676" s="1" t="str">
        <f>IFERROR(__xludf.DUMMYFUNCTION("""COMPUTED_VALUE"""),"control")</f>
        <v>control</v>
      </c>
      <c r="D4676" s="1" t="str">
        <f>IFERROR(__xludf.DUMMYFUNCTION("""COMPUTED_VALUE"""),"old_page")</f>
        <v>old_page</v>
      </c>
      <c r="E4676" s="1">
        <f>IFERROR(__xludf.DUMMYFUNCTION("""COMPUTED_VALUE"""),0.0)</f>
        <v>0</v>
      </c>
    </row>
    <row r="4677">
      <c r="A4677" s="1">
        <f>IFERROR(__xludf.DUMMYFUNCTION("""COMPUTED_VALUE"""),792719.0)</f>
        <v>792719</v>
      </c>
      <c r="B4677" s="2">
        <f>IFERROR(__xludf.DUMMYFUNCTION("""COMPUTED_VALUE"""),42756.73067313015)</f>
        <v>42756.73067</v>
      </c>
      <c r="C4677" s="1" t="str">
        <f>IFERROR(__xludf.DUMMYFUNCTION("""COMPUTED_VALUE"""),"control")</f>
        <v>control</v>
      </c>
      <c r="D4677" s="1" t="str">
        <f>IFERROR(__xludf.DUMMYFUNCTION("""COMPUTED_VALUE"""),"old_page")</f>
        <v>old_page</v>
      </c>
      <c r="E4677" s="1">
        <f>IFERROR(__xludf.DUMMYFUNCTION("""COMPUTED_VALUE"""),0.0)</f>
        <v>0</v>
      </c>
    </row>
    <row r="4678">
      <c r="A4678" s="1">
        <f>IFERROR(__xludf.DUMMYFUNCTION("""COMPUTED_VALUE"""),718638.0)</f>
        <v>718638</v>
      </c>
      <c r="B4678" s="2">
        <f>IFERROR(__xludf.DUMMYFUNCTION("""COMPUTED_VALUE"""),42751.84414422107)</f>
        <v>42751.84414</v>
      </c>
      <c r="C4678" s="1" t="str">
        <f>IFERROR(__xludf.DUMMYFUNCTION("""COMPUTED_VALUE"""),"treatment")</f>
        <v>treatment</v>
      </c>
      <c r="D4678" s="1" t="str">
        <f>IFERROR(__xludf.DUMMYFUNCTION("""COMPUTED_VALUE"""),"new_page")</f>
        <v>new_page</v>
      </c>
      <c r="E4678" s="1">
        <f>IFERROR(__xludf.DUMMYFUNCTION("""COMPUTED_VALUE"""),0.0)</f>
        <v>0</v>
      </c>
    </row>
    <row r="4679">
      <c r="A4679" s="1">
        <f>IFERROR(__xludf.DUMMYFUNCTION("""COMPUTED_VALUE"""),938677.0)</f>
        <v>938677</v>
      </c>
      <c r="B4679" s="2">
        <f>IFERROR(__xludf.DUMMYFUNCTION("""COMPUTED_VALUE"""),42745.557352861666)</f>
        <v>42745.55735</v>
      </c>
      <c r="C4679" s="1" t="str">
        <f>IFERROR(__xludf.DUMMYFUNCTION("""COMPUTED_VALUE"""),"control")</f>
        <v>control</v>
      </c>
      <c r="D4679" s="1" t="str">
        <f>IFERROR(__xludf.DUMMYFUNCTION("""COMPUTED_VALUE"""),"old_page")</f>
        <v>old_page</v>
      </c>
      <c r="E4679" s="1">
        <f>IFERROR(__xludf.DUMMYFUNCTION("""COMPUTED_VALUE"""),0.0)</f>
        <v>0</v>
      </c>
    </row>
    <row r="4680">
      <c r="A4680" s="1">
        <f>IFERROR(__xludf.DUMMYFUNCTION("""COMPUTED_VALUE"""),651637.0)</f>
        <v>651637</v>
      </c>
      <c r="B4680" s="2">
        <f>IFERROR(__xludf.DUMMYFUNCTION("""COMPUTED_VALUE"""),42747.48881414909)</f>
        <v>42747.48881</v>
      </c>
      <c r="C4680" s="1" t="str">
        <f>IFERROR(__xludf.DUMMYFUNCTION("""COMPUTED_VALUE"""),"treatment")</f>
        <v>treatment</v>
      </c>
      <c r="D4680" s="1" t="str">
        <f>IFERROR(__xludf.DUMMYFUNCTION("""COMPUTED_VALUE"""),"new_page")</f>
        <v>new_page</v>
      </c>
      <c r="E4680" s="1">
        <f>IFERROR(__xludf.DUMMYFUNCTION("""COMPUTED_VALUE"""),0.0)</f>
        <v>0</v>
      </c>
    </row>
    <row r="4681">
      <c r="A4681" s="1">
        <f>IFERROR(__xludf.DUMMYFUNCTION("""COMPUTED_VALUE"""),886126.0)</f>
        <v>886126</v>
      </c>
      <c r="B4681" s="2">
        <f>IFERROR(__xludf.DUMMYFUNCTION("""COMPUTED_VALUE"""),42740.25778535232)</f>
        <v>42740.25779</v>
      </c>
      <c r="C4681" s="1" t="str">
        <f>IFERROR(__xludf.DUMMYFUNCTION("""COMPUTED_VALUE"""),"control")</f>
        <v>control</v>
      </c>
      <c r="D4681" s="1" t="str">
        <f>IFERROR(__xludf.DUMMYFUNCTION("""COMPUTED_VALUE"""),"old_page")</f>
        <v>old_page</v>
      </c>
      <c r="E4681" s="1">
        <f>IFERROR(__xludf.DUMMYFUNCTION("""COMPUTED_VALUE"""),0.0)</f>
        <v>0</v>
      </c>
    </row>
    <row r="4682">
      <c r="A4682" s="1">
        <f>IFERROR(__xludf.DUMMYFUNCTION("""COMPUTED_VALUE"""),639298.0)</f>
        <v>639298</v>
      </c>
      <c r="B4682" s="2">
        <f>IFERROR(__xludf.DUMMYFUNCTION("""COMPUTED_VALUE"""),42748.47260329317)</f>
        <v>42748.4726</v>
      </c>
      <c r="C4682" s="1" t="str">
        <f>IFERROR(__xludf.DUMMYFUNCTION("""COMPUTED_VALUE"""),"control")</f>
        <v>control</v>
      </c>
      <c r="D4682" s="1" t="str">
        <f>IFERROR(__xludf.DUMMYFUNCTION("""COMPUTED_VALUE"""),"old_page")</f>
        <v>old_page</v>
      </c>
      <c r="E4682" s="1">
        <f>IFERROR(__xludf.DUMMYFUNCTION("""COMPUTED_VALUE"""),1.0)</f>
        <v>1</v>
      </c>
    </row>
    <row r="4683">
      <c r="A4683" s="1">
        <f>IFERROR(__xludf.DUMMYFUNCTION("""COMPUTED_VALUE"""),737743.0)</f>
        <v>737743</v>
      </c>
      <c r="B4683" s="2">
        <f>IFERROR(__xludf.DUMMYFUNCTION("""COMPUTED_VALUE"""),42743.69533784292)</f>
        <v>42743.69534</v>
      </c>
      <c r="C4683" s="1" t="str">
        <f>IFERROR(__xludf.DUMMYFUNCTION("""COMPUTED_VALUE"""),"treatment")</f>
        <v>treatment</v>
      </c>
      <c r="D4683" s="1" t="str">
        <f>IFERROR(__xludf.DUMMYFUNCTION("""COMPUTED_VALUE"""),"new_page")</f>
        <v>new_page</v>
      </c>
      <c r="E4683" s="1">
        <f>IFERROR(__xludf.DUMMYFUNCTION("""COMPUTED_VALUE"""),0.0)</f>
        <v>0</v>
      </c>
    </row>
    <row r="4684">
      <c r="A4684" s="1">
        <f>IFERROR(__xludf.DUMMYFUNCTION("""COMPUTED_VALUE"""),804867.0)</f>
        <v>804867</v>
      </c>
      <c r="B4684" s="2">
        <f>IFERROR(__xludf.DUMMYFUNCTION("""COMPUTED_VALUE"""),42742.578648053575)</f>
        <v>42742.57865</v>
      </c>
      <c r="C4684" s="1" t="str">
        <f>IFERROR(__xludf.DUMMYFUNCTION("""COMPUTED_VALUE"""),"control")</f>
        <v>control</v>
      </c>
      <c r="D4684" s="1" t="str">
        <f>IFERROR(__xludf.DUMMYFUNCTION("""COMPUTED_VALUE"""),"old_page")</f>
        <v>old_page</v>
      </c>
      <c r="E4684" s="1">
        <f>IFERROR(__xludf.DUMMYFUNCTION("""COMPUTED_VALUE"""),0.0)</f>
        <v>0</v>
      </c>
    </row>
    <row r="4685">
      <c r="A4685" s="1">
        <f>IFERROR(__xludf.DUMMYFUNCTION("""COMPUTED_VALUE"""),753955.0)</f>
        <v>753955</v>
      </c>
      <c r="B4685" s="2">
        <f>IFERROR(__xludf.DUMMYFUNCTION("""COMPUTED_VALUE"""),42755.540688601635)</f>
        <v>42755.54069</v>
      </c>
      <c r="C4685" s="1" t="str">
        <f>IFERROR(__xludf.DUMMYFUNCTION("""COMPUTED_VALUE"""),"treatment")</f>
        <v>treatment</v>
      </c>
      <c r="D4685" s="1" t="str">
        <f>IFERROR(__xludf.DUMMYFUNCTION("""COMPUTED_VALUE"""),"new_page")</f>
        <v>new_page</v>
      </c>
      <c r="E4685" s="1">
        <f>IFERROR(__xludf.DUMMYFUNCTION("""COMPUTED_VALUE"""),0.0)</f>
        <v>0</v>
      </c>
    </row>
    <row r="4686">
      <c r="A4686" s="1">
        <f>IFERROR(__xludf.DUMMYFUNCTION("""COMPUTED_VALUE"""),711578.0)</f>
        <v>711578</v>
      </c>
      <c r="B4686" s="2">
        <f>IFERROR(__xludf.DUMMYFUNCTION("""COMPUTED_VALUE"""),42746.44749338255)</f>
        <v>42746.44749</v>
      </c>
      <c r="C4686" s="1" t="str">
        <f>IFERROR(__xludf.DUMMYFUNCTION("""COMPUTED_VALUE"""),"treatment")</f>
        <v>treatment</v>
      </c>
      <c r="D4686" s="1" t="str">
        <f>IFERROR(__xludf.DUMMYFUNCTION("""COMPUTED_VALUE"""),"new_page")</f>
        <v>new_page</v>
      </c>
      <c r="E4686" s="1">
        <f>IFERROR(__xludf.DUMMYFUNCTION("""COMPUTED_VALUE"""),0.0)</f>
        <v>0</v>
      </c>
    </row>
    <row r="4687">
      <c r="A4687" s="1">
        <f>IFERROR(__xludf.DUMMYFUNCTION("""COMPUTED_VALUE"""),639466.0)</f>
        <v>639466</v>
      </c>
      <c r="B4687" s="2">
        <f>IFERROR(__xludf.DUMMYFUNCTION("""COMPUTED_VALUE"""),42745.1901794819)</f>
        <v>42745.19018</v>
      </c>
      <c r="C4687" s="1" t="str">
        <f>IFERROR(__xludf.DUMMYFUNCTION("""COMPUTED_VALUE"""),"control")</f>
        <v>control</v>
      </c>
      <c r="D4687" s="1" t="str">
        <f>IFERROR(__xludf.DUMMYFUNCTION("""COMPUTED_VALUE"""),"old_page")</f>
        <v>old_page</v>
      </c>
      <c r="E4687" s="1">
        <f>IFERROR(__xludf.DUMMYFUNCTION("""COMPUTED_VALUE"""),0.0)</f>
        <v>0</v>
      </c>
    </row>
    <row r="4688">
      <c r="A4688" s="1">
        <f>IFERROR(__xludf.DUMMYFUNCTION("""COMPUTED_VALUE"""),916232.0)</f>
        <v>916232</v>
      </c>
      <c r="B4688" s="2">
        <f>IFERROR(__xludf.DUMMYFUNCTION("""COMPUTED_VALUE"""),42748.1738737457)</f>
        <v>42748.17387</v>
      </c>
      <c r="C4688" s="1" t="str">
        <f>IFERROR(__xludf.DUMMYFUNCTION("""COMPUTED_VALUE"""),"control")</f>
        <v>control</v>
      </c>
      <c r="D4688" s="1" t="str">
        <f>IFERROR(__xludf.DUMMYFUNCTION("""COMPUTED_VALUE"""),"old_page")</f>
        <v>old_page</v>
      </c>
      <c r="E4688" s="1">
        <f>IFERROR(__xludf.DUMMYFUNCTION("""COMPUTED_VALUE"""),0.0)</f>
        <v>0</v>
      </c>
    </row>
    <row r="4689">
      <c r="A4689" s="1">
        <f>IFERROR(__xludf.DUMMYFUNCTION("""COMPUTED_VALUE"""),630888.0)</f>
        <v>630888</v>
      </c>
      <c r="B4689" s="2">
        <f>IFERROR(__xludf.DUMMYFUNCTION("""COMPUTED_VALUE"""),42749.9142987547)</f>
        <v>42749.9143</v>
      </c>
      <c r="C4689" s="1" t="str">
        <f>IFERROR(__xludf.DUMMYFUNCTION("""COMPUTED_VALUE"""),"control")</f>
        <v>control</v>
      </c>
      <c r="D4689" s="1" t="str">
        <f>IFERROR(__xludf.DUMMYFUNCTION("""COMPUTED_VALUE"""),"old_page")</f>
        <v>old_page</v>
      </c>
      <c r="E4689" s="1">
        <f>IFERROR(__xludf.DUMMYFUNCTION("""COMPUTED_VALUE"""),0.0)</f>
        <v>0</v>
      </c>
    </row>
    <row r="4690">
      <c r="A4690" s="1">
        <f>IFERROR(__xludf.DUMMYFUNCTION("""COMPUTED_VALUE"""),853908.0)</f>
        <v>853908</v>
      </c>
      <c r="B4690" s="2">
        <f>IFERROR(__xludf.DUMMYFUNCTION("""COMPUTED_VALUE"""),42748.37887959534)</f>
        <v>42748.37888</v>
      </c>
      <c r="C4690" s="1" t="str">
        <f>IFERROR(__xludf.DUMMYFUNCTION("""COMPUTED_VALUE"""),"treatment")</f>
        <v>treatment</v>
      </c>
      <c r="D4690" s="1" t="str">
        <f>IFERROR(__xludf.DUMMYFUNCTION("""COMPUTED_VALUE"""),"new_page")</f>
        <v>new_page</v>
      </c>
      <c r="E4690" s="1">
        <f>IFERROR(__xludf.DUMMYFUNCTION("""COMPUTED_VALUE"""),0.0)</f>
        <v>0</v>
      </c>
    </row>
    <row r="4691">
      <c r="A4691" s="1">
        <f>IFERROR(__xludf.DUMMYFUNCTION("""COMPUTED_VALUE"""),916284.0)</f>
        <v>916284</v>
      </c>
      <c r="B4691" s="2">
        <f>IFERROR(__xludf.DUMMYFUNCTION("""COMPUTED_VALUE"""),42756.98826302341)</f>
        <v>42756.98826</v>
      </c>
      <c r="C4691" s="1" t="str">
        <f>IFERROR(__xludf.DUMMYFUNCTION("""COMPUTED_VALUE"""),"control")</f>
        <v>control</v>
      </c>
      <c r="D4691" s="1" t="str">
        <f>IFERROR(__xludf.DUMMYFUNCTION("""COMPUTED_VALUE"""),"old_page")</f>
        <v>old_page</v>
      </c>
      <c r="E4691" s="1">
        <f>IFERROR(__xludf.DUMMYFUNCTION("""COMPUTED_VALUE"""),0.0)</f>
        <v>0</v>
      </c>
    </row>
    <row r="4692">
      <c r="A4692" s="1">
        <f>IFERROR(__xludf.DUMMYFUNCTION("""COMPUTED_VALUE"""),822382.0)</f>
        <v>822382</v>
      </c>
      <c r="B4692" s="2">
        <f>IFERROR(__xludf.DUMMYFUNCTION("""COMPUTED_VALUE"""),42754.63181419862)</f>
        <v>42754.63181</v>
      </c>
      <c r="C4692" s="1" t="str">
        <f>IFERROR(__xludf.DUMMYFUNCTION("""COMPUTED_VALUE"""),"treatment")</f>
        <v>treatment</v>
      </c>
      <c r="D4692" s="1" t="str">
        <f>IFERROR(__xludf.DUMMYFUNCTION("""COMPUTED_VALUE"""),"new_page")</f>
        <v>new_page</v>
      </c>
      <c r="E4692" s="1">
        <f>IFERROR(__xludf.DUMMYFUNCTION("""COMPUTED_VALUE"""),0.0)</f>
        <v>0</v>
      </c>
    </row>
    <row r="4693">
      <c r="A4693" s="1">
        <f>IFERROR(__xludf.DUMMYFUNCTION("""COMPUTED_VALUE"""),731230.0)</f>
        <v>731230</v>
      </c>
      <c r="B4693" s="2">
        <f>IFERROR(__xludf.DUMMYFUNCTION("""COMPUTED_VALUE"""),42741.317794426606)</f>
        <v>42741.31779</v>
      </c>
      <c r="C4693" s="1" t="str">
        <f>IFERROR(__xludf.DUMMYFUNCTION("""COMPUTED_VALUE"""),"control")</f>
        <v>control</v>
      </c>
      <c r="D4693" s="1" t="str">
        <f>IFERROR(__xludf.DUMMYFUNCTION("""COMPUTED_VALUE"""),"old_page")</f>
        <v>old_page</v>
      </c>
      <c r="E4693" s="1">
        <f>IFERROR(__xludf.DUMMYFUNCTION("""COMPUTED_VALUE"""),0.0)</f>
        <v>0</v>
      </c>
    </row>
    <row r="4694">
      <c r="A4694" s="1">
        <f>IFERROR(__xludf.DUMMYFUNCTION("""COMPUTED_VALUE"""),678952.0)</f>
        <v>678952</v>
      </c>
      <c r="B4694" s="2">
        <f>IFERROR(__xludf.DUMMYFUNCTION("""COMPUTED_VALUE"""),42751.69838099228)</f>
        <v>42751.69838</v>
      </c>
      <c r="C4694" s="1" t="str">
        <f>IFERROR(__xludf.DUMMYFUNCTION("""COMPUTED_VALUE"""),"control")</f>
        <v>control</v>
      </c>
      <c r="D4694" s="1" t="str">
        <f>IFERROR(__xludf.DUMMYFUNCTION("""COMPUTED_VALUE"""),"old_page")</f>
        <v>old_page</v>
      </c>
      <c r="E4694" s="1">
        <f>IFERROR(__xludf.DUMMYFUNCTION("""COMPUTED_VALUE"""),0.0)</f>
        <v>0</v>
      </c>
    </row>
    <row r="4695">
      <c r="A4695" s="1">
        <f>IFERROR(__xludf.DUMMYFUNCTION("""COMPUTED_VALUE"""),799659.0)</f>
        <v>799659</v>
      </c>
      <c r="B4695" s="2">
        <f>IFERROR(__xludf.DUMMYFUNCTION("""COMPUTED_VALUE"""),42757.40991228454)</f>
        <v>42757.40991</v>
      </c>
      <c r="C4695" s="1" t="str">
        <f>IFERROR(__xludf.DUMMYFUNCTION("""COMPUTED_VALUE"""),"control")</f>
        <v>control</v>
      </c>
      <c r="D4695" s="1" t="str">
        <f>IFERROR(__xludf.DUMMYFUNCTION("""COMPUTED_VALUE"""),"new_page")</f>
        <v>new_page</v>
      </c>
      <c r="E4695" s="1">
        <f>IFERROR(__xludf.DUMMYFUNCTION("""COMPUTED_VALUE"""),0.0)</f>
        <v>0</v>
      </c>
    </row>
    <row r="4696">
      <c r="A4696" s="1">
        <f>IFERROR(__xludf.DUMMYFUNCTION("""COMPUTED_VALUE"""),773437.0)</f>
        <v>773437</v>
      </c>
      <c r="B4696" s="2">
        <f>IFERROR(__xludf.DUMMYFUNCTION("""COMPUTED_VALUE"""),42757.64821346831)</f>
        <v>42757.64821</v>
      </c>
      <c r="C4696" s="1" t="str">
        <f>IFERROR(__xludf.DUMMYFUNCTION("""COMPUTED_VALUE"""),"treatment")</f>
        <v>treatment</v>
      </c>
      <c r="D4696" s="1" t="str">
        <f>IFERROR(__xludf.DUMMYFUNCTION("""COMPUTED_VALUE"""),"new_page")</f>
        <v>new_page</v>
      </c>
      <c r="E4696" s="1">
        <f>IFERROR(__xludf.DUMMYFUNCTION("""COMPUTED_VALUE"""),0.0)</f>
        <v>0</v>
      </c>
    </row>
    <row r="4697">
      <c r="A4697" s="1">
        <f>IFERROR(__xludf.DUMMYFUNCTION("""COMPUTED_VALUE"""),936318.0)</f>
        <v>936318</v>
      </c>
      <c r="B4697" s="2">
        <f>IFERROR(__xludf.DUMMYFUNCTION("""COMPUTED_VALUE"""),42740.15080614004)</f>
        <v>42740.15081</v>
      </c>
      <c r="C4697" s="1" t="str">
        <f>IFERROR(__xludf.DUMMYFUNCTION("""COMPUTED_VALUE"""),"treatment")</f>
        <v>treatment</v>
      </c>
      <c r="D4697" s="1" t="str">
        <f>IFERROR(__xludf.DUMMYFUNCTION("""COMPUTED_VALUE"""),"new_page")</f>
        <v>new_page</v>
      </c>
      <c r="E4697" s="1">
        <f>IFERROR(__xludf.DUMMYFUNCTION("""COMPUTED_VALUE"""),0.0)</f>
        <v>0</v>
      </c>
    </row>
    <row r="4698">
      <c r="A4698" s="1">
        <f>IFERROR(__xludf.DUMMYFUNCTION("""COMPUTED_VALUE"""),905652.0)</f>
        <v>905652</v>
      </c>
      <c r="B4698" s="2">
        <f>IFERROR(__xludf.DUMMYFUNCTION("""COMPUTED_VALUE"""),42754.39074913338)</f>
        <v>42754.39075</v>
      </c>
      <c r="C4698" s="1" t="str">
        <f>IFERROR(__xludf.DUMMYFUNCTION("""COMPUTED_VALUE"""),"treatment")</f>
        <v>treatment</v>
      </c>
      <c r="D4698" s="1" t="str">
        <f>IFERROR(__xludf.DUMMYFUNCTION("""COMPUTED_VALUE"""),"new_page")</f>
        <v>new_page</v>
      </c>
      <c r="E4698" s="1">
        <f>IFERROR(__xludf.DUMMYFUNCTION("""COMPUTED_VALUE"""),1.0)</f>
        <v>1</v>
      </c>
    </row>
    <row r="4699">
      <c r="A4699" s="1">
        <f>IFERROR(__xludf.DUMMYFUNCTION("""COMPUTED_VALUE"""),925233.0)</f>
        <v>925233</v>
      </c>
      <c r="B4699" s="2">
        <f>IFERROR(__xludf.DUMMYFUNCTION("""COMPUTED_VALUE"""),42750.72480062694)</f>
        <v>42750.7248</v>
      </c>
      <c r="C4699" s="1" t="str">
        <f>IFERROR(__xludf.DUMMYFUNCTION("""COMPUTED_VALUE"""),"control")</f>
        <v>control</v>
      </c>
      <c r="D4699" s="1" t="str">
        <f>IFERROR(__xludf.DUMMYFUNCTION("""COMPUTED_VALUE"""),"old_page")</f>
        <v>old_page</v>
      </c>
      <c r="E4699" s="1">
        <f>IFERROR(__xludf.DUMMYFUNCTION("""COMPUTED_VALUE"""),0.0)</f>
        <v>0</v>
      </c>
    </row>
    <row r="4700">
      <c r="A4700" s="1">
        <f>IFERROR(__xludf.DUMMYFUNCTION("""COMPUTED_VALUE"""),858826.0)</f>
        <v>858826</v>
      </c>
      <c r="B4700" s="2">
        <f>IFERROR(__xludf.DUMMYFUNCTION("""COMPUTED_VALUE"""),42756.192006666875)</f>
        <v>42756.19201</v>
      </c>
      <c r="C4700" s="1" t="str">
        <f>IFERROR(__xludf.DUMMYFUNCTION("""COMPUTED_VALUE"""),"treatment")</f>
        <v>treatment</v>
      </c>
      <c r="D4700" s="1" t="str">
        <f>IFERROR(__xludf.DUMMYFUNCTION("""COMPUTED_VALUE"""),"new_page")</f>
        <v>new_page</v>
      </c>
      <c r="E4700" s="1">
        <f>IFERROR(__xludf.DUMMYFUNCTION("""COMPUTED_VALUE"""),0.0)</f>
        <v>0</v>
      </c>
    </row>
    <row r="4701">
      <c r="A4701" s="1">
        <f>IFERROR(__xludf.DUMMYFUNCTION("""COMPUTED_VALUE"""),789451.0)</f>
        <v>789451</v>
      </c>
      <c r="B4701" s="2">
        <f>IFERROR(__xludf.DUMMYFUNCTION("""COMPUTED_VALUE"""),42744.90393027269)</f>
        <v>42744.90393</v>
      </c>
      <c r="C4701" s="1" t="str">
        <f>IFERROR(__xludf.DUMMYFUNCTION("""COMPUTED_VALUE"""),"control")</f>
        <v>control</v>
      </c>
      <c r="D4701" s="1" t="str">
        <f>IFERROR(__xludf.DUMMYFUNCTION("""COMPUTED_VALUE"""),"old_page")</f>
        <v>old_page</v>
      </c>
      <c r="E4701" s="1">
        <f>IFERROR(__xludf.DUMMYFUNCTION("""COMPUTED_VALUE"""),0.0)</f>
        <v>0</v>
      </c>
    </row>
    <row r="4702">
      <c r="A4702" s="1">
        <f>IFERROR(__xludf.DUMMYFUNCTION("""COMPUTED_VALUE"""),827037.0)</f>
        <v>827037</v>
      </c>
      <c r="B4702" s="2">
        <f>IFERROR(__xludf.DUMMYFUNCTION("""COMPUTED_VALUE"""),42753.27008970888)</f>
        <v>42753.27009</v>
      </c>
      <c r="C4702" s="1" t="str">
        <f>IFERROR(__xludf.DUMMYFUNCTION("""COMPUTED_VALUE"""),"control")</f>
        <v>control</v>
      </c>
      <c r="D4702" s="1" t="str">
        <f>IFERROR(__xludf.DUMMYFUNCTION("""COMPUTED_VALUE"""),"old_page")</f>
        <v>old_page</v>
      </c>
      <c r="E4702" s="1">
        <f>IFERROR(__xludf.DUMMYFUNCTION("""COMPUTED_VALUE"""),0.0)</f>
        <v>0</v>
      </c>
    </row>
    <row r="4703">
      <c r="A4703" s="1">
        <f>IFERROR(__xludf.DUMMYFUNCTION("""COMPUTED_VALUE"""),883730.0)</f>
        <v>883730</v>
      </c>
      <c r="B4703" s="2">
        <f>IFERROR(__xludf.DUMMYFUNCTION("""COMPUTED_VALUE"""),42753.64361356288)</f>
        <v>42753.64361</v>
      </c>
      <c r="C4703" s="1" t="str">
        <f>IFERROR(__xludf.DUMMYFUNCTION("""COMPUTED_VALUE"""),"treatment")</f>
        <v>treatment</v>
      </c>
      <c r="D4703" s="1" t="str">
        <f>IFERROR(__xludf.DUMMYFUNCTION("""COMPUTED_VALUE"""),"new_page")</f>
        <v>new_page</v>
      </c>
      <c r="E4703" s="1">
        <f>IFERROR(__xludf.DUMMYFUNCTION("""COMPUTED_VALUE"""),0.0)</f>
        <v>0</v>
      </c>
    </row>
    <row r="4704">
      <c r="A4704" s="1">
        <f>IFERROR(__xludf.DUMMYFUNCTION("""COMPUTED_VALUE"""),732122.0)</f>
        <v>732122</v>
      </c>
      <c r="B4704" s="2">
        <f>IFERROR(__xludf.DUMMYFUNCTION("""COMPUTED_VALUE"""),42750.22573232226)</f>
        <v>42750.22573</v>
      </c>
      <c r="C4704" s="1" t="str">
        <f>IFERROR(__xludf.DUMMYFUNCTION("""COMPUTED_VALUE"""),"treatment")</f>
        <v>treatment</v>
      </c>
      <c r="D4704" s="1" t="str">
        <f>IFERROR(__xludf.DUMMYFUNCTION("""COMPUTED_VALUE"""),"new_page")</f>
        <v>new_page</v>
      </c>
      <c r="E4704" s="1">
        <f>IFERROR(__xludf.DUMMYFUNCTION("""COMPUTED_VALUE"""),0.0)</f>
        <v>0</v>
      </c>
    </row>
    <row r="4705">
      <c r="A4705" s="1">
        <f>IFERROR(__xludf.DUMMYFUNCTION("""COMPUTED_VALUE"""),761699.0)</f>
        <v>761699</v>
      </c>
      <c r="B4705" s="2">
        <f>IFERROR(__xludf.DUMMYFUNCTION("""COMPUTED_VALUE"""),42743.95801021075)</f>
        <v>42743.95801</v>
      </c>
      <c r="C4705" s="1" t="str">
        <f>IFERROR(__xludf.DUMMYFUNCTION("""COMPUTED_VALUE"""),"treatment")</f>
        <v>treatment</v>
      </c>
      <c r="D4705" s="1" t="str">
        <f>IFERROR(__xludf.DUMMYFUNCTION("""COMPUTED_VALUE"""),"new_page")</f>
        <v>new_page</v>
      </c>
      <c r="E4705" s="1">
        <f>IFERROR(__xludf.DUMMYFUNCTION("""COMPUTED_VALUE"""),1.0)</f>
        <v>1</v>
      </c>
    </row>
    <row r="4706">
      <c r="A4706" s="1">
        <f>IFERROR(__xludf.DUMMYFUNCTION("""COMPUTED_VALUE"""),920870.0)</f>
        <v>920870</v>
      </c>
      <c r="B4706" s="2">
        <f>IFERROR(__xludf.DUMMYFUNCTION("""COMPUTED_VALUE"""),42740.86467367728)</f>
        <v>42740.86467</v>
      </c>
      <c r="C4706" s="1" t="str">
        <f>IFERROR(__xludf.DUMMYFUNCTION("""COMPUTED_VALUE"""),"treatment")</f>
        <v>treatment</v>
      </c>
      <c r="D4706" s="1" t="str">
        <f>IFERROR(__xludf.DUMMYFUNCTION("""COMPUTED_VALUE"""),"new_page")</f>
        <v>new_page</v>
      </c>
      <c r="E4706" s="1">
        <f>IFERROR(__xludf.DUMMYFUNCTION("""COMPUTED_VALUE"""),0.0)</f>
        <v>0</v>
      </c>
    </row>
    <row r="4707">
      <c r="A4707" s="1">
        <f>IFERROR(__xludf.DUMMYFUNCTION("""COMPUTED_VALUE"""),762382.0)</f>
        <v>762382</v>
      </c>
      <c r="B4707" s="2">
        <f>IFERROR(__xludf.DUMMYFUNCTION("""COMPUTED_VALUE"""),42752.91718521214)</f>
        <v>42752.91719</v>
      </c>
      <c r="C4707" s="1" t="str">
        <f>IFERROR(__xludf.DUMMYFUNCTION("""COMPUTED_VALUE"""),"control")</f>
        <v>control</v>
      </c>
      <c r="D4707" s="1" t="str">
        <f>IFERROR(__xludf.DUMMYFUNCTION("""COMPUTED_VALUE"""),"old_page")</f>
        <v>old_page</v>
      </c>
      <c r="E4707" s="1">
        <f>IFERROR(__xludf.DUMMYFUNCTION("""COMPUTED_VALUE"""),0.0)</f>
        <v>0</v>
      </c>
    </row>
    <row r="4708">
      <c r="A4708" s="1">
        <f>IFERROR(__xludf.DUMMYFUNCTION("""COMPUTED_VALUE"""),731597.0)</f>
        <v>731597</v>
      </c>
      <c r="B4708" s="2">
        <f>IFERROR(__xludf.DUMMYFUNCTION("""COMPUTED_VALUE"""),42744.82073917754)</f>
        <v>42744.82074</v>
      </c>
      <c r="C4708" s="1" t="str">
        <f>IFERROR(__xludf.DUMMYFUNCTION("""COMPUTED_VALUE"""),"treatment")</f>
        <v>treatment</v>
      </c>
      <c r="D4708" s="1" t="str">
        <f>IFERROR(__xludf.DUMMYFUNCTION("""COMPUTED_VALUE"""),"new_page")</f>
        <v>new_page</v>
      </c>
      <c r="E4708" s="1">
        <f>IFERROR(__xludf.DUMMYFUNCTION("""COMPUTED_VALUE"""),0.0)</f>
        <v>0</v>
      </c>
    </row>
    <row r="4709">
      <c r="A4709" s="1">
        <f>IFERROR(__xludf.DUMMYFUNCTION("""COMPUTED_VALUE"""),695912.0)</f>
        <v>695912</v>
      </c>
      <c r="B4709" s="2">
        <f>IFERROR(__xludf.DUMMYFUNCTION("""COMPUTED_VALUE"""),42737.92120078792)</f>
        <v>42737.9212</v>
      </c>
      <c r="C4709" s="1" t="str">
        <f>IFERROR(__xludf.DUMMYFUNCTION("""COMPUTED_VALUE"""),"treatment")</f>
        <v>treatment</v>
      </c>
      <c r="D4709" s="1" t="str">
        <f>IFERROR(__xludf.DUMMYFUNCTION("""COMPUTED_VALUE"""),"new_page")</f>
        <v>new_page</v>
      </c>
      <c r="E4709" s="1">
        <f>IFERROR(__xludf.DUMMYFUNCTION("""COMPUTED_VALUE"""),1.0)</f>
        <v>1</v>
      </c>
    </row>
    <row r="4710">
      <c r="A4710" s="1">
        <f>IFERROR(__xludf.DUMMYFUNCTION("""COMPUTED_VALUE"""),677504.0)</f>
        <v>677504</v>
      </c>
      <c r="B4710" s="2">
        <f>IFERROR(__xludf.DUMMYFUNCTION("""COMPUTED_VALUE"""),42745.803455954316)</f>
        <v>42745.80346</v>
      </c>
      <c r="C4710" s="1" t="str">
        <f>IFERROR(__xludf.DUMMYFUNCTION("""COMPUTED_VALUE"""),"treatment")</f>
        <v>treatment</v>
      </c>
      <c r="D4710" s="1" t="str">
        <f>IFERROR(__xludf.DUMMYFUNCTION("""COMPUTED_VALUE"""),"new_page")</f>
        <v>new_page</v>
      </c>
      <c r="E4710" s="1">
        <f>IFERROR(__xludf.DUMMYFUNCTION("""COMPUTED_VALUE"""),0.0)</f>
        <v>0</v>
      </c>
    </row>
    <row r="4711">
      <c r="A4711" s="1">
        <f>IFERROR(__xludf.DUMMYFUNCTION("""COMPUTED_VALUE"""),661259.0)</f>
        <v>661259</v>
      </c>
      <c r="B4711" s="2">
        <f>IFERROR(__xludf.DUMMYFUNCTION("""COMPUTED_VALUE"""),42753.950147874086)</f>
        <v>42753.95015</v>
      </c>
      <c r="C4711" s="1" t="str">
        <f>IFERROR(__xludf.DUMMYFUNCTION("""COMPUTED_VALUE"""),"treatment")</f>
        <v>treatment</v>
      </c>
      <c r="D4711" s="1" t="str">
        <f>IFERROR(__xludf.DUMMYFUNCTION("""COMPUTED_VALUE"""),"new_page")</f>
        <v>new_page</v>
      </c>
      <c r="E4711" s="1">
        <f>IFERROR(__xludf.DUMMYFUNCTION("""COMPUTED_VALUE"""),0.0)</f>
        <v>0</v>
      </c>
    </row>
    <row r="4712">
      <c r="A4712" s="1">
        <f>IFERROR(__xludf.DUMMYFUNCTION("""COMPUTED_VALUE"""),809119.0)</f>
        <v>809119</v>
      </c>
      <c r="B4712" s="2">
        <f>IFERROR(__xludf.DUMMYFUNCTION("""COMPUTED_VALUE"""),42739.83058659148)</f>
        <v>42739.83059</v>
      </c>
      <c r="C4712" s="1" t="str">
        <f>IFERROR(__xludf.DUMMYFUNCTION("""COMPUTED_VALUE"""),"treatment")</f>
        <v>treatment</v>
      </c>
      <c r="D4712" s="1" t="str">
        <f>IFERROR(__xludf.DUMMYFUNCTION("""COMPUTED_VALUE"""),"new_page")</f>
        <v>new_page</v>
      </c>
      <c r="E4712" s="1">
        <f>IFERROR(__xludf.DUMMYFUNCTION("""COMPUTED_VALUE"""),0.0)</f>
        <v>0</v>
      </c>
    </row>
    <row r="4713">
      <c r="A4713" s="1">
        <f>IFERROR(__xludf.DUMMYFUNCTION("""COMPUTED_VALUE"""),783646.0)</f>
        <v>783646</v>
      </c>
      <c r="B4713" s="2">
        <f>IFERROR(__xludf.DUMMYFUNCTION("""COMPUTED_VALUE"""),42755.43909583061)</f>
        <v>42755.4391</v>
      </c>
      <c r="C4713" s="1" t="str">
        <f>IFERROR(__xludf.DUMMYFUNCTION("""COMPUTED_VALUE"""),"treatment")</f>
        <v>treatment</v>
      </c>
      <c r="D4713" s="1" t="str">
        <f>IFERROR(__xludf.DUMMYFUNCTION("""COMPUTED_VALUE"""),"new_page")</f>
        <v>new_page</v>
      </c>
      <c r="E4713" s="1">
        <f>IFERROR(__xludf.DUMMYFUNCTION("""COMPUTED_VALUE"""),0.0)</f>
        <v>0</v>
      </c>
    </row>
    <row r="4714">
      <c r="A4714" s="1">
        <f>IFERROR(__xludf.DUMMYFUNCTION("""COMPUTED_VALUE"""),790356.0)</f>
        <v>790356</v>
      </c>
      <c r="B4714" s="2">
        <f>IFERROR(__xludf.DUMMYFUNCTION("""COMPUTED_VALUE"""),42751.542377536316)</f>
        <v>42751.54238</v>
      </c>
      <c r="C4714" s="1" t="str">
        <f>IFERROR(__xludf.DUMMYFUNCTION("""COMPUTED_VALUE"""),"treatment")</f>
        <v>treatment</v>
      </c>
      <c r="D4714" s="1" t="str">
        <f>IFERROR(__xludf.DUMMYFUNCTION("""COMPUTED_VALUE"""),"new_page")</f>
        <v>new_page</v>
      </c>
      <c r="E4714" s="1">
        <f>IFERROR(__xludf.DUMMYFUNCTION("""COMPUTED_VALUE"""),0.0)</f>
        <v>0</v>
      </c>
    </row>
    <row r="4715">
      <c r="A4715" s="1">
        <f>IFERROR(__xludf.DUMMYFUNCTION("""COMPUTED_VALUE"""),886744.0)</f>
        <v>886744</v>
      </c>
      <c r="B4715" s="2">
        <f>IFERROR(__xludf.DUMMYFUNCTION("""COMPUTED_VALUE"""),42742.30955190816)</f>
        <v>42742.30955</v>
      </c>
      <c r="C4715" s="1" t="str">
        <f>IFERROR(__xludf.DUMMYFUNCTION("""COMPUTED_VALUE"""),"control")</f>
        <v>control</v>
      </c>
      <c r="D4715" s="1" t="str">
        <f>IFERROR(__xludf.DUMMYFUNCTION("""COMPUTED_VALUE"""),"old_page")</f>
        <v>old_page</v>
      </c>
      <c r="E4715" s="1">
        <f>IFERROR(__xludf.DUMMYFUNCTION("""COMPUTED_VALUE"""),0.0)</f>
        <v>0</v>
      </c>
    </row>
    <row r="4716">
      <c r="A4716" s="1">
        <f>IFERROR(__xludf.DUMMYFUNCTION("""COMPUTED_VALUE"""),929595.0)</f>
        <v>929595</v>
      </c>
      <c r="B4716" s="2">
        <f>IFERROR(__xludf.DUMMYFUNCTION("""COMPUTED_VALUE"""),42755.943482642375)</f>
        <v>42755.94348</v>
      </c>
      <c r="C4716" s="1" t="str">
        <f>IFERROR(__xludf.DUMMYFUNCTION("""COMPUTED_VALUE"""),"control")</f>
        <v>control</v>
      </c>
      <c r="D4716" s="1" t="str">
        <f>IFERROR(__xludf.DUMMYFUNCTION("""COMPUTED_VALUE"""),"old_page")</f>
        <v>old_page</v>
      </c>
      <c r="E4716" s="1">
        <f>IFERROR(__xludf.DUMMYFUNCTION("""COMPUTED_VALUE"""),0.0)</f>
        <v>0</v>
      </c>
    </row>
    <row r="4717">
      <c r="A4717" s="1">
        <f>IFERROR(__xludf.DUMMYFUNCTION("""COMPUTED_VALUE"""),869022.0)</f>
        <v>869022</v>
      </c>
      <c r="B4717" s="2">
        <f>IFERROR(__xludf.DUMMYFUNCTION("""COMPUTED_VALUE"""),42742.2771092583)</f>
        <v>42742.27711</v>
      </c>
      <c r="C4717" s="1" t="str">
        <f>IFERROR(__xludf.DUMMYFUNCTION("""COMPUTED_VALUE"""),"treatment")</f>
        <v>treatment</v>
      </c>
      <c r="D4717" s="1" t="str">
        <f>IFERROR(__xludf.DUMMYFUNCTION("""COMPUTED_VALUE"""),"new_page")</f>
        <v>new_page</v>
      </c>
      <c r="E4717" s="1">
        <f>IFERROR(__xludf.DUMMYFUNCTION("""COMPUTED_VALUE"""),0.0)</f>
        <v>0</v>
      </c>
    </row>
    <row r="4718">
      <c r="A4718" s="1">
        <f>IFERROR(__xludf.DUMMYFUNCTION("""COMPUTED_VALUE"""),711703.0)</f>
        <v>711703</v>
      </c>
      <c r="B4718" s="2">
        <f>IFERROR(__xludf.DUMMYFUNCTION("""COMPUTED_VALUE"""),42758.79136991353)</f>
        <v>42758.79137</v>
      </c>
      <c r="C4718" s="1" t="str">
        <f>IFERROR(__xludf.DUMMYFUNCTION("""COMPUTED_VALUE"""),"control")</f>
        <v>control</v>
      </c>
      <c r="D4718" s="1" t="str">
        <f>IFERROR(__xludf.DUMMYFUNCTION("""COMPUTED_VALUE"""),"old_page")</f>
        <v>old_page</v>
      </c>
      <c r="E4718" s="1">
        <f>IFERROR(__xludf.DUMMYFUNCTION("""COMPUTED_VALUE"""),0.0)</f>
        <v>0</v>
      </c>
    </row>
    <row r="4719">
      <c r="A4719" s="1">
        <f>IFERROR(__xludf.DUMMYFUNCTION("""COMPUTED_VALUE"""),812254.0)</f>
        <v>812254</v>
      </c>
      <c r="B4719" s="2">
        <f>IFERROR(__xludf.DUMMYFUNCTION("""COMPUTED_VALUE"""),42750.682882667075)</f>
        <v>42750.68288</v>
      </c>
      <c r="C4719" s="1" t="str">
        <f>IFERROR(__xludf.DUMMYFUNCTION("""COMPUTED_VALUE"""),"control")</f>
        <v>control</v>
      </c>
      <c r="D4719" s="1" t="str">
        <f>IFERROR(__xludf.DUMMYFUNCTION("""COMPUTED_VALUE"""),"old_page")</f>
        <v>old_page</v>
      </c>
      <c r="E4719" s="1">
        <f>IFERROR(__xludf.DUMMYFUNCTION("""COMPUTED_VALUE"""),0.0)</f>
        <v>0</v>
      </c>
    </row>
    <row r="4720">
      <c r="A4720" s="1">
        <f>IFERROR(__xludf.DUMMYFUNCTION("""COMPUTED_VALUE"""),873436.0)</f>
        <v>873436</v>
      </c>
      <c r="B4720" s="2">
        <f>IFERROR(__xludf.DUMMYFUNCTION("""COMPUTED_VALUE"""),42748.676913734074)</f>
        <v>42748.67691</v>
      </c>
      <c r="C4720" s="1" t="str">
        <f>IFERROR(__xludf.DUMMYFUNCTION("""COMPUTED_VALUE"""),"control")</f>
        <v>control</v>
      </c>
      <c r="D4720" s="1" t="str">
        <f>IFERROR(__xludf.DUMMYFUNCTION("""COMPUTED_VALUE"""),"old_page")</f>
        <v>old_page</v>
      </c>
      <c r="E4720" s="1">
        <f>IFERROR(__xludf.DUMMYFUNCTION("""COMPUTED_VALUE"""),0.0)</f>
        <v>0</v>
      </c>
    </row>
    <row r="4721">
      <c r="A4721" s="1">
        <f>IFERROR(__xludf.DUMMYFUNCTION("""COMPUTED_VALUE"""),891854.0)</f>
        <v>891854</v>
      </c>
      <c r="B4721" s="2">
        <f>IFERROR(__xludf.DUMMYFUNCTION("""COMPUTED_VALUE"""),42741.66332526501)</f>
        <v>42741.66333</v>
      </c>
      <c r="C4721" s="1" t="str">
        <f>IFERROR(__xludf.DUMMYFUNCTION("""COMPUTED_VALUE"""),"treatment")</f>
        <v>treatment</v>
      </c>
      <c r="D4721" s="1" t="str">
        <f>IFERROR(__xludf.DUMMYFUNCTION("""COMPUTED_VALUE"""),"new_page")</f>
        <v>new_page</v>
      </c>
      <c r="E4721" s="1">
        <f>IFERROR(__xludf.DUMMYFUNCTION("""COMPUTED_VALUE"""),1.0)</f>
        <v>1</v>
      </c>
    </row>
    <row r="4722">
      <c r="A4722" s="1">
        <f>IFERROR(__xludf.DUMMYFUNCTION("""COMPUTED_VALUE"""),785768.0)</f>
        <v>785768</v>
      </c>
      <c r="B4722" s="2">
        <f>IFERROR(__xludf.DUMMYFUNCTION("""COMPUTED_VALUE"""),42745.247784990046)</f>
        <v>42745.24778</v>
      </c>
      <c r="C4722" s="1" t="str">
        <f>IFERROR(__xludf.DUMMYFUNCTION("""COMPUTED_VALUE"""),"control")</f>
        <v>control</v>
      </c>
      <c r="D4722" s="1" t="str">
        <f>IFERROR(__xludf.DUMMYFUNCTION("""COMPUTED_VALUE"""),"old_page")</f>
        <v>old_page</v>
      </c>
      <c r="E4722" s="1">
        <f>IFERROR(__xludf.DUMMYFUNCTION("""COMPUTED_VALUE"""),0.0)</f>
        <v>0</v>
      </c>
    </row>
    <row r="4723">
      <c r="A4723" s="1">
        <f>IFERROR(__xludf.DUMMYFUNCTION("""COMPUTED_VALUE"""),659991.0)</f>
        <v>659991</v>
      </c>
      <c r="B4723" s="2">
        <f>IFERROR(__xludf.DUMMYFUNCTION("""COMPUTED_VALUE"""),42739.970403401865)</f>
        <v>42739.9704</v>
      </c>
      <c r="C4723" s="1" t="str">
        <f>IFERROR(__xludf.DUMMYFUNCTION("""COMPUTED_VALUE"""),"control")</f>
        <v>control</v>
      </c>
      <c r="D4723" s="1" t="str">
        <f>IFERROR(__xludf.DUMMYFUNCTION("""COMPUTED_VALUE"""),"old_page")</f>
        <v>old_page</v>
      </c>
      <c r="E4723" s="1">
        <f>IFERROR(__xludf.DUMMYFUNCTION("""COMPUTED_VALUE"""),0.0)</f>
        <v>0</v>
      </c>
    </row>
    <row r="4724">
      <c r="A4724" s="1">
        <f>IFERROR(__xludf.DUMMYFUNCTION("""COMPUTED_VALUE"""),822222.0)</f>
        <v>822222</v>
      </c>
      <c r="B4724" s="2">
        <f>IFERROR(__xludf.DUMMYFUNCTION("""COMPUTED_VALUE"""),42743.66809274451)</f>
        <v>42743.66809</v>
      </c>
      <c r="C4724" s="1" t="str">
        <f>IFERROR(__xludf.DUMMYFUNCTION("""COMPUTED_VALUE"""),"treatment")</f>
        <v>treatment</v>
      </c>
      <c r="D4724" s="1" t="str">
        <f>IFERROR(__xludf.DUMMYFUNCTION("""COMPUTED_VALUE"""),"new_page")</f>
        <v>new_page</v>
      </c>
      <c r="E4724" s="1">
        <f>IFERROR(__xludf.DUMMYFUNCTION("""COMPUTED_VALUE"""),0.0)</f>
        <v>0</v>
      </c>
    </row>
    <row r="4725">
      <c r="A4725" s="1">
        <f>IFERROR(__xludf.DUMMYFUNCTION("""COMPUTED_VALUE"""),747739.0)</f>
        <v>747739</v>
      </c>
      <c r="B4725" s="2">
        <f>IFERROR(__xludf.DUMMYFUNCTION("""COMPUTED_VALUE"""),42757.71776501243)</f>
        <v>42757.71777</v>
      </c>
      <c r="C4725" s="1" t="str">
        <f>IFERROR(__xludf.DUMMYFUNCTION("""COMPUTED_VALUE"""),"treatment")</f>
        <v>treatment</v>
      </c>
      <c r="D4725" s="1" t="str">
        <f>IFERROR(__xludf.DUMMYFUNCTION("""COMPUTED_VALUE"""),"new_page")</f>
        <v>new_page</v>
      </c>
      <c r="E4725" s="1">
        <f>IFERROR(__xludf.DUMMYFUNCTION("""COMPUTED_VALUE"""),0.0)</f>
        <v>0</v>
      </c>
    </row>
    <row r="4726">
      <c r="A4726" s="1">
        <f>IFERROR(__xludf.DUMMYFUNCTION("""COMPUTED_VALUE"""),712964.0)</f>
        <v>712964</v>
      </c>
      <c r="B4726" s="2">
        <f>IFERROR(__xludf.DUMMYFUNCTION("""COMPUTED_VALUE"""),42752.69381390441)</f>
        <v>42752.69381</v>
      </c>
      <c r="C4726" s="1" t="str">
        <f>IFERROR(__xludf.DUMMYFUNCTION("""COMPUTED_VALUE"""),"control")</f>
        <v>control</v>
      </c>
      <c r="D4726" s="1" t="str">
        <f>IFERROR(__xludf.DUMMYFUNCTION("""COMPUTED_VALUE"""),"old_page")</f>
        <v>old_page</v>
      </c>
      <c r="E4726" s="1">
        <f>IFERROR(__xludf.DUMMYFUNCTION("""COMPUTED_VALUE"""),0.0)</f>
        <v>0</v>
      </c>
    </row>
    <row r="4727">
      <c r="A4727" s="1">
        <f>IFERROR(__xludf.DUMMYFUNCTION("""COMPUTED_VALUE"""),816532.0)</f>
        <v>816532</v>
      </c>
      <c r="B4727" s="2">
        <f>IFERROR(__xludf.DUMMYFUNCTION("""COMPUTED_VALUE"""),42755.1121985241)</f>
        <v>42755.1122</v>
      </c>
      <c r="C4727" s="1" t="str">
        <f>IFERROR(__xludf.DUMMYFUNCTION("""COMPUTED_VALUE"""),"control")</f>
        <v>control</v>
      </c>
      <c r="D4727" s="1" t="str">
        <f>IFERROR(__xludf.DUMMYFUNCTION("""COMPUTED_VALUE"""),"old_page")</f>
        <v>old_page</v>
      </c>
      <c r="E4727" s="1">
        <f>IFERROR(__xludf.DUMMYFUNCTION("""COMPUTED_VALUE"""),0.0)</f>
        <v>0</v>
      </c>
    </row>
    <row r="4728">
      <c r="A4728" s="1">
        <f>IFERROR(__xludf.DUMMYFUNCTION("""COMPUTED_VALUE"""),942374.0)</f>
        <v>942374</v>
      </c>
      <c r="B4728" s="2">
        <f>IFERROR(__xludf.DUMMYFUNCTION("""COMPUTED_VALUE"""),42751.38234091567)</f>
        <v>42751.38234</v>
      </c>
      <c r="C4728" s="1" t="str">
        <f>IFERROR(__xludf.DUMMYFUNCTION("""COMPUTED_VALUE"""),"treatment")</f>
        <v>treatment</v>
      </c>
      <c r="D4728" s="1" t="str">
        <f>IFERROR(__xludf.DUMMYFUNCTION("""COMPUTED_VALUE"""),"new_page")</f>
        <v>new_page</v>
      </c>
      <c r="E4728" s="1">
        <f>IFERROR(__xludf.DUMMYFUNCTION("""COMPUTED_VALUE"""),0.0)</f>
        <v>0</v>
      </c>
    </row>
    <row r="4729">
      <c r="A4729" s="1">
        <f>IFERROR(__xludf.DUMMYFUNCTION("""COMPUTED_VALUE"""),646549.0)</f>
        <v>646549</v>
      </c>
      <c r="B4729" s="2">
        <f>IFERROR(__xludf.DUMMYFUNCTION("""COMPUTED_VALUE"""),42756.629248680474)</f>
        <v>42756.62925</v>
      </c>
      <c r="C4729" s="1" t="str">
        <f>IFERROR(__xludf.DUMMYFUNCTION("""COMPUTED_VALUE"""),"control")</f>
        <v>control</v>
      </c>
      <c r="D4729" s="1" t="str">
        <f>IFERROR(__xludf.DUMMYFUNCTION("""COMPUTED_VALUE"""),"old_page")</f>
        <v>old_page</v>
      </c>
      <c r="E4729" s="1">
        <f>IFERROR(__xludf.DUMMYFUNCTION("""COMPUTED_VALUE"""),0.0)</f>
        <v>0</v>
      </c>
    </row>
    <row r="4730">
      <c r="A4730" s="1">
        <f>IFERROR(__xludf.DUMMYFUNCTION("""COMPUTED_VALUE"""),775642.0)</f>
        <v>775642</v>
      </c>
      <c r="B4730" s="2">
        <f>IFERROR(__xludf.DUMMYFUNCTION("""COMPUTED_VALUE"""),42744.44798613552)</f>
        <v>42744.44799</v>
      </c>
      <c r="C4730" s="1" t="str">
        <f>IFERROR(__xludf.DUMMYFUNCTION("""COMPUTED_VALUE"""),"control")</f>
        <v>control</v>
      </c>
      <c r="D4730" s="1" t="str">
        <f>IFERROR(__xludf.DUMMYFUNCTION("""COMPUTED_VALUE"""),"old_page")</f>
        <v>old_page</v>
      </c>
      <c r="E4730" s="1">
        <f>IFERROR(__xludf.DUMMYFUNCTION("""COMPUTED_VALUE"""),0.0)</f>
        <v>0</v>
      </c>
    </row>
    <row r="4731">
      <c r="A4731" s="1">
        <f>IFERROR(__xludf.DUMMYFUNCTION("""COMPUTED_VALUE"""),806219.0)</f>
        <v>806219</v>
      </c>
      <c r="B4731" s="2">
        <f>IFERROR(__xludf.DUMMYFUNCTION("""COMPUTED_VALUE"""),42739.9727607336)</f>
        <v>42739.97276</v>
      </c>
      <c r="C4731" s="1" t="str">
        <f>IFERROR(__xludf.DUMMYFUNCTION("""COMPUTED_VALUE"""),"treatment")</f>
        <v>treatment</v>
      </c>
      <c r="D4731" s="1" t="str">
        <f>IFERROR(__xludf.DUMMYFUNCTION("""COMPUTED_VALUE"""),"new_page")</f>
        <v>new_page</v>
      </c>
      <c r="E4731" s="1">
        <f>IFERROR(__xludf.DUMMYFUNCTION("""COMPUTED_VALUE"""),0.0)</f>
        <v>0</v>
      </c>
    </row>
    <row r="4732">
      <c r="A4732" s="1">
        <f>IFERROR(__xludf.DUMMYFUNCTION("""COMPUTED_VALUE"""),883222.0)</f>
        <v>883222</v>
      </c>
      <c r="B4732" s="2">
        <f>IFERROR(__xludf.DUMMYFUNCTION("""COMPUTED_VALUE"""),42753.21897437063)</f>
        <v>42753.21897</v>
      </c>
      <c r="C4732" s="1" t="str">
        <f>IFERROR(__xludf.DUMMYFUNCTION("""COMPUTED_VALUE"""),"treatment")</f>
        <v>treatment</v>
      </c>
      <c r="D4732" s="1" t="str">
        <f>IFERROR(__xludf.DUMMYFUNCTION("""COMPUTED_VALUE"""),"new_page")</f>
        <v>new_page</v>
      </c>
      <c r="E4732" s="1">
        <f>IFERROR(__xludf.DUMMYFUNCTION("""COMPUTED_VALUE"""),0.0)</f>
        <v>0</v>
      </c>
    </row>
    <row r="4733">
      <c r="A4733" s="1">
        <f>IFERROR(__xludf.DUMMYFUNCTION("""COMPUTED_VALUE"""),932200.0)</f>
        <v>932200</v>
      </c>
      <c r="B4733" s="2">
        <f>IFERROR(__xludf.DUMMYFUNCTION("""COMPUTED_VALUE"""),42738.65920473413)</f>
        <v>42738.6592</v>
      </c>
      <c r="C4733" s="1" t="str">
        <f>IFERROR(__xludf.DUMMYFUNCTION("""COMPUTED_VALUE"""),"treatment")</f>
        <v>treatment</v>
      </c>
      <c r="D4733" s="1" t="str">
        <f>IFERROR(__xludf.DUMMYFUNCTION("""COMPUTED_VALUE"""),"new_page")</f>
        <v>new_page</v>
      </c>
      <c r="E4733" s="1">
        <f>IFERROR(__xludf.DUMMYFUNCTION("""COMPUTED_VALUE"""),0.0)</f>
        <v>0</v>
      </c>
    </row>
    <row r="4734">
      <c r="A4734" s="1">
        <f>IFERROR(__xludf.DUMMYFUNCTION("""COMPUTED_VALUE"""),782558.0)</f>
        <v>782558</v>
      </c>
      <c r="B4734" s="2">
        <f>IFERROR(__xludf.DUMMYFUNCTION("""COMPUTED_VALUE"""),42755.45244414068)</f>
        <v>42755.45244</v>
      </c>
      <c r="C4734" s="1" t="str">
        <f>IFERROR(__xludf.DUMMYFUNCTION("""COMPUTED_VALUE"""),"treatment")</f>
        <v>treatment</v>
      </c>
      <c r="D4734" s="1" t="str">
        <f>IFERROR(__xludf.DUMMYFUNCTION("""COMPUTED_VALUE"""),"new_page")</f>
        <v>new_page</v>
      </c>
      <c r="E4734" s="1">
        <f>IFERROR(__xludf.DUMMYFUNCTION("""COMPUTED_VALUE"""),0.0)</f>
        <v>0</v>
      </c>
    </row>
    <row r="4735">
      <c r="A4735" s="1">
        <f>IFERROR(__xludf.DUMMYFUNCTION("""COMPUTED_VALUE"""),809915.0)</f>
        <v>809915</v>
      </c>
      <c r="B4735" s="2">
        <f>IFERROR(__xludf.DUMMYFUNCTION("""COMPUTED_VALUE"""),42739.10580776052)</f>
        <v>42739.10581</v>
      </c>
      <c r="C4735" s="1" t="str">
        <f>IFERROR(__xludf.DUMMYFUNCTION("""COMPUTED_VALUE"""),"control")</f>
        <v>control</v>
      </c>
      <c r="D4735" s="1" t="str">
        <f>IFERROR(__xludf.DUMMYFUNCTION("""COMPUTED_VALUE"""),"old_page")</f>
        <v>old_page</v>
      </c>
      <c r="E4735" s="1">
        <f>IFERROR(__xludf.DUMMYFUNCTION("""COMPUTED_VALUE"""),1.0)</f>
        <v>1</v>
      </c>
    </row>
    <row r="4736">
      <c r="A4736" s="1">
        <f>IFERROR(__xludf.DUMMYFUNCTION("""COMPUTED_VALUE"""),707716.0)</f>
        <v>707716</v>
      </c>
      <c r="B4736" s="2">
        <f>IFERROR(__xludf.DUMMYFUNCTION("""COMPUTED_VALUE"""),42745.88654042403)</f>
        <v>42745.88654</v>
      </c>
      <c r="C4736" s="1" t="str">
        <f>IFERROR(__xludf.DUMMYFUNCTION("""COMPUTED_VALUE"""),"control")</f>
        <v>control</v>
      </c>
      <c r="D4736" s="1" t="str">
        <f>IFERROR(__xludf.DUMMYFUNCTION("""COMPUTED_VALUE"""),"old_page")</f>
        <v>old_page</v>
      </c>
      <c r="E4736" s="1">
        <f>IFERROR(__xludf.DUMMYFUNCTION("""COMPUTED_VALUE"""),0.0)</f>
        <v>0</v>
      </c>
    </row>
    <row r="4737">
      <c r="A4737" s="1">
        <f>IFERROR(__xludf.DUMMYFUNCTION("""COMPUTED_VALUE"""),657423.0)</f>
        <v>657423</v>
      </c>
      <c r="B4737" s="2">
        <f>IFERROR(__xludf.DUMMYFUNCTION("""COMPUTED_VALUE"""),42738.95974099698)</f>
        <v>42738.95974</v>
      </c>
      <c r="C4737" s="1" t="str">
        <f>IFERROR(__xludf.DUMMYFUNCTION("""COMPUTED_VALUE"""),"treatment")</f>
        <v>treatment</v>
      </c>
      <c r="D4737" s="1" t="str">
        <f>IFERROR(__xludf.DUMMYFUNCTION("""COMPUTED_VALUE"""),"new_page")</f>
        <v>new_page</v>
      </c>
      <c r="E4737" s="1">
        <f>IFERROR(__xludf.DUMMYFUNCTION("""COMPUTED_VALUE"""),0.0)</f>
        <v>0</v>
      </c>
    </row>
    <row r="4738">
      <c r="A4738" s="1">
        <f>IFERROR(__xludf.DUMMYFUNCTION("""COMPUTED_VALUE"""),837471.0)</f>
        <v>837471</v>
      </c>
      <c r="B4738" s="2">
        <f>IFERROR(__xludf.DUMMYFUNCTION("""COMPUTED_VALUE"""),42756.72072712322)</f>
        <v>42756.72073</v>
      </c>
      <c r="C4738" s="1" t="str">
        <f>IFERROR(__xludf.DUMMYFUNCTION("""COMPUTED_VALUE"""),"treatment")</f>
        <v>treatment</v>
      </c>
      <c r="D4738" s="1" t="str">
        <f>IFERROR(__xludf.DUMMYFUNCTION("""COMPUTED_VALUE"""),"new_page")</f>
        <v>new_page</v>
      </c>
      <c r="E4738" s="1">
        <f>IFERROR(__xludf.DUMMYFUNCTION("""COMPUTED_VALUE"""),0.0)</f>
        <v>0</v>
      </c>
    </row>
    <row r="4739">
      <c r="A4739" s="1">
        <f>IFERROR(__xludf.DUMMYFUNCTION("""COMPUTED_VALUE"""),675900.0)</f>
        <v>675900</v>
      </c>
      <c r="B4739" s="2">
        <f>IFERROR(__xludf.DUMMYFUNCTION("""COMPUTED_VALUE"""),42755.0213044192)</f>
        <v>42755.0213</v>
      </c>
      <c r="C4739" s="1" t="str">
        <f>IFERROR(__xludf.DUMMYFUNCTION("""COMPUTED_VALUE"""),"control")</f>
        <v>control</v>
      </c>
      <c r="D4739" s="1" t="str">
        <f>IFERROR(__xludf.DUMMYFUNCTION("""COMPUTED_VALUE"""),"old_page")</f>
        <v>old_page</v>
      </c>
      <c r="E4739" s="1">
        <f>IFERROR(__xludf.DUMMYFUNCTION("""COMPUTED_VALUE"""),0.0)</f>
        <v>0</v>
      </c>
    </row>
    <row r="4740">
      <c r="A4740" s="1">
        <f>IFERROR(__xludf.DUMMYFUNCTION("""COMPUTED_VALUE"""),663647.0)</f>
        <v>663647</v>
      </c>
      <c r="B4740" s="2">
        <f>IFERROR(__xludf.DUMMYFUNCTION("""COMPUTED_VALUE"""),42742.6562425245)</f>
        <v>42742.65624</v>
      </c>
      <c r="C4740" s="1" t="str">
        <f>IFERROR(__xludf.DUMMYFUNCTION("""COMPUTED_VALUE"""),"treatment")</f>
        <v>treatment</v>
      </c>
      <c r="D4740" s="1" t="str">
        <f>IFERROR(__xludf.DUMMYFUNCTION("""COMPUTED_VALUE"""),"new_page")</f>
        <v>new_page</v>
      </c>
      <c r="E4740" s="1">
        <f>IFERROR(__xludf.DUMMYFUNCTION("""COMPUTED_VALUE"""),0.0)</f>
        <v>0</v>
      </c>
    </row>
    <row r="4741">
      <c r="A4741" s="1">
        <f>IFERROR(__xludf.DUMMYFUNCTION("""COMPUTED_VALUE"""),859425.0)</f>
        <v>859425</v>
      </c>
      <c r="B4741" s="2">
        <f>IFERROR(__xludf.DUMMYFUNCTION("""COMPUTED_VALUE"""),42740.30457680191)</f>
        <v>42740.30458</v>
      </c>
      <c r="C4741" s="1" t="str">
        <f>IFERROR(__xludf.DUMMYFUNCTION("""COMPUTED_VALUE"""),"treatment")</f>
        <v>treatment</v>
      </c>
      <c r="D4741" s="1" t="str">
        <f>IFERROR(__xludf.DUMMYFUNCTION("""COMPUTED_VALUE"""),"new_page")</f>
        <v>new_page</v>
      </c>
      <c r="E4741" s="1">
        <f>IFERROR(__xludf.DUMMYFUNCTION("""COMPUTED_VALUE"""),0.0)</f>
        <v>0</v>
      </c>
    </row>
    <row r="4742">
      <c r="A4742" s="1">
        <f>IFERROR(__xludf.DUMMYFUNCTION("""COMPUTED_VALUE"""),810776.0)</f>
        <v>810776</v>
      </c>
      <c r="B4742" s="2">
        <f>IFERROR(__xludf.DUMMYFUNCTION("""COMPUTED_VALUE"""),42753.458331047404)</f>
        <v>42753.45833</v>
      </c>
      <c r="C4742" s="1" t="str">
        <f>IFERROR(__xludf.DUMMYFUNCTION("""COMPUTED_VALUE"""),"treatment")</f>
        <v>treatment</v>
      </c>
      <c r="D4742" s="1" t="str">
        <f>IFERROR(__xludf.DUMMYFUNCTION("""COMPUTED_VALUE"""),"new_page")</f>
        <v>new_page</v>
      </c>
      <c r="E4742" s="1">
        <f>IFERROR(__xludf.DUMMYFUNCTION("""COMPUTED_VALUE"""),1.0)</f>
        <v>1</v>
      </c>
    </row>
    <row r="4743">
      <c r="A4743" s="1">
        <f>IFERROR(__xludf.DUMMYFUNCTION("""COMPUTED_VALUE"""),644709.0)</f>
        <v>644709</v>
      </c>
      <c r="B4743" s="2">
        <f>IFERROR(__xludf.DUMMYFUNCTION("""COMPUTED_VALUE"""),42738.55789063788)</f>
        <v>42738.55789</v>
      </c>
      <c r="C4743" s="1" t="str">
        <f>IFERROR(__xludf.DUMMYFUNCTION("""COMPUTED_VALUE"""),"treatment")</f>
        <v>treatment</v>
      </c>
      <c r="D4743" s="1" t="str">
        <f>IFERROR(__xludf.DUMMYFUNCTION("""COMPUTED_VALUE"""),"new_page")</f>
        <v>new_page</v>
      </c>
      <c r="E4743" s="1">
        <f>IFERROR(__xludf.DUMMYFUNCTION("""COMPUTED_VALUE"""),0.0)</f>
        <v>0</v>
      </c>
    </row>
    <row r="4744">
      <c r="A4744" s="1">
        <f>IFERROR(__xludf.DUMMYFUNCTION("""COMPUTED_VALUE"""),668623.0)</f>
        <v>668623</v>
      </c>
      <c r="B4744" s="2">
        <f>IFERROR(__xludf.DUMMYFUNCTION("""COMPUTED_VALUE"""),42745.81509328814)</f>
        <v>42745.81509</v>
      </c>
      <c r="C4744" s="1" t="str">
        <f>IFERROR(__xludf.DUMMYFUNCTION("""COMPUTED_VALUE"""),"control")</f>
        <v>control</v>
      </c>
      <c r="D4744" s="1" t="str">
        <f>IFERROR(__xludf.DUMMYFUNCTION("""COMPUTED_VALUE"""),"old_page")</f>
        <v>old_page</v>
      </c>
      <c r="E4744" s="1">
        <f>IFERROR(__xludf.DUMMYFUNCTION("""COMPUTED_VALUE"""),0.0)</f>
        <v>0</v>
      </c>
    </row>
    <row r="4745">
      <c r="A4745" s="1">
        <f>IFERROR(__xludf.DUMMYFUNCTION("""COMPUTED_VALUE"""),772455.0)</f>
        <v>772455</v>
      </c>
      <c r="B4745" s="2">
        <f>IFERROR(__xludf.DUMMYFUNCTION("""COMPUTED_VALUE"""),42755.85494386753)</f>
        <v>42755.85494</v>
      </c>
      <c r="C4745" s="1" t="str">
        <f>IFERROR(__xludf.DUMMYFUNCTION("""COMPUTED_VALUE"""),"treatment")</f>
        <v>treatment</v>
      </c>
      <c r="D4745" s="1" t="str">
        <f>IFERROR(__xludf.DUMMYFUNCTION("""COMPUTED_VALUE"""),"new_page")</f>
        <v>new_page</v>
      </c>
      <c r="E4745" s="1">
        <f>IFERROR(__xludf.DUMMYFUNCTION("""COMPUTED_VALUE"""),0.0)</f>
        <v>0</v>
      </c>
    </row>
    <row r="4746">
      <c r="A4746" s="1">
        <f>IFERROR(__xludf.DUMMYFUNCTION("""COMPUTED_VALUE"""),935379.0)</f>
        <v>935379</v>
      </c>
      <c r="B4746" s="2">
        <f>IFERROR(__xludf.DUMMYFUNCTION("""COMPUTED_VALUE"""),42752.03660285976)</f>
        <v>42752.0366</v>
      </c>
      <c r="C4746" s="1" t="str">
        <f>IFERROR(__xludf.DUMMYFUNCTION("""COMPUTED_VALUE"""),"treatment")</f>
        <v>treatment</v>
      </c>
      <c r="D4746" s="1" t="str">
        <f>IFERROR(__xludf.DUMMYFUNCTION("""COMPUTED_VALUE"""),"new_page")</f>
        <v>new_page</v>
      </c>
      <c r="E4746" s="1">
        <f>IFERROR(__xludf.DUMMYFUNCTION("""COMPUTED_VALUE"""),0.0)</f>
        <v>0</v>
      </c>
    </row>
    <row r="4747">
      <c r="A4747" s="1">
        <f>IFERROR(__xludf.DUMMYFUNCTION("""COMPUTED_VALUE"""),870793.0)</f>
        <v>870793</v>
      </c>
      <c r="B4747" s="2">
        <f>IFERROR(__xludf.DUMMYFUNCTION("""COMPUTED_VALUE"""),42753.188019497036)</f>
        <v>42753.18802</v>
      </c>
      <c r="C4747" s="1" t="str">
        <f>IFERROR(__xludf.DUMMYFUNCTION("""COMPUTED_VALUE"""),"control")</f>
        <v>control</v>
      </c>
      <c r="D4747" s="1" t="str">
        <f>IFERROR(__xludf.DUMMYFUNCTION("""COMPUTED_VALUE"""),"old_page")</f>
        <v>old_page</v>
      </c>
      <c r="E4747" s="1">
        <f>IFERROR(__xludf.DUMMYFUNCTION("""COMPUTED_VALUE"""),0.0)</f>
        <v>0</v>
      </c>
    </row>
    <row r="4748">
      <c r="A4748" s="1">
        <f>IFERROR(__xludf.DUMMYFUNCTION("""COMPUTED_VALUE"""),847677.0)</f>
        <v>847677</v>
      </c>
      <c r="B4748" s="2">
        <f>IFERROR(__xludf.DUMMYFUNCTION("""COMPUTED_VALUE"""),42757.79364820327)</f>
        <v>42757.79365</v>
      </c>
      <c r="C4748" s="1" t="str">
        <f>IFERROR(__xludf.DUMMYFUNCTION("""COMPUTED_VALUE"""),"control")</f>
        <v>control</v>
      </c>
      <c r="D4748" s="1" t="str">
        <f>IFERROR(__xludf.DUMMYFUNCTION("""COMPUTED_VALUE"""),"old_page")</f>
        <v>old_page</v>
      </c>
      <c r="E4748" s="1">
        <f>IFERROR(__xludf.DUMMYFUNCTION("""COMPUTED_VALUE"""),1.0)</f>
        <v>1</v>
      </c>
    </row>
    <row r="4749">
      <c r="A4749" s="1">
        <f>IFERROR(__xludf.DUMMYFUNCTION("""COMPUTED_VALUE"""),679813.0)</f>
        <v>679813</v>
      </c>
      <c r="B4749" s="2">
        <f>IFERROR(__xludf.DUMMYFUNCTION("""COMPUTED_VALUE"""),42743.14226968618)</f>
        <v>42743.14227</v>
      </c>
      <c r="C4749" s="1" t="str">
        <f>IFERROR(__xludf.DUMMYFUNCTION("""COMPUTED_VALUE"""),"treatment")</f>
        <v>treatment</v>
      </c>
      <c r="D4749" s="1" t="str">
        <f>IFERROR(__xludf.DUMMYFUNCTION("""COMPUTED_VALUE"""),"new_page")</f>
        <v>new_page</v>
      </c>
      <c r="E4749" s="1">
        <f>IFERROR(__xludf.DUMMYFUNCTION("""COMPUTED_VALUE"""),0.0)</f>
        <v>0</v>
      </c>
    </row>
    <row r="4750">
      <c r="A4750" s="1">
        <f>IFERROR(__xludf.DUMMYFUNCTION("""COMPUTED_VALUE"""),872738.0)</f>
        <v>872738</v>
      </c>
      <c r="B4750" s="2">
        <f>IFERROR(__xludf.DUMMYFUNCTION("""COMPUTED_VALUE"""),42743.09449046978)</f>
        <v>42743.09449</v>
      </c>
      <c r="C4750" s="1" t="str">
        <f>IFERROR(__xludf.DUMMYFUNCTION("""COMPUTED_VALUE"""),"control")</f>
        <v>control</v>
      </c>
      <c r="D4750" s="1" t="str">
        <f>IFERROR(__xludf.DUMMYFUNCTION("""COMPUTED_VALUE"""),"new_page")</f>
        <v>new_page</v>
      </c>
      <c r="E4750" s="1">
        <f>IFERROR(__xludf.DUMMYFUNCTION("""COMPUTED_VALUE"""),0.0)</f>
        <v>0</v>
      </c>
    </row>
    <row r="4751">
      <c r="A4751" s="1">
        <f>IFERROR(__xludf.DUMMYFUNCTION("""COMPUTED_VALUE"""),871375.0)</f>
        <v>871375</v>
      </c>
      <c r="B4751" s="2">
        <f>IFERROR(__xludf.DUMMYFUNCTION("""COMPUTED_VALUE"""),42746.55572221331)</f>
        <v>42746.55572</v>
      </c>
      <c r="C4751" s="1" t="str">
        <f>IFERROR(__xludf.DUMMYFUNCTION("""COMPUTED_VALUE"""),"control")</f>
        <v>control</v>
      </c>
      <c r="D4751" s="1" t="str">
        <f>IFERROR(__xludf.DUMMYFUNCTION("""COMPUTED_VALUE"""),"old_page")</f>
        <v>old_page</v>
      </c>
      <c r="E4751" s="1">
        <f>IFERROR(__xludf.DUMMYFUNCTION("""COMPUTED_VALUE"""),1.0)</f>
        <v>1</v>
      </c>
    </row>
    <row r="4752">
      <c r="A4752" s="1">
        <f>IFERROR(__xludf.DUMMYFUNCTION("""COMPUTED_VALUE"""),797000.0)</f>
        <v>797000</v>
      </c>
      <c r="B4752" s="2">
        <f>IFERROR(__xludf.DUMMYFUNCTION("""COMPUTED_VALUE"""),42745.28581979729)</f>
        <v>42745.28582</v>
      </c>
      <c r="C4752" s="1" t="str">
        <f>IFERROR(__xludf.DUMMYFUNCTION("""COMPUTED_VALUE"""),"treatment")</f>
        <v>treatment</v>
      </c>
      <c r="D4752" s="1" t="str">
        <f>IFERROR(__xludf.DUMMYFUNCTION("""COMPUTED_VALUE"""),"new_page")</f>
        <v>new_page</v>
      </c>
      <c r="E4752" s="1">
        <f>IFERROR(__xludf.DUMMYFUNCTION("""COMPUTED_VALUE"""),0.0)</f>
        <v>0</v>
      </c>
    </row>
    <row r="4753">
      <c r="A4753" s="1">
        <f>IFERROR(__xludf.DUMMYFUNCTION("""COMPUTED_VALUE"""),704584.0)</f>
        <v>704584</v>
      </c>
      <c r="B4753" s="2">
        <f>IFERROR(__xludf.DUMMYFUNCTION("""COMPUTED_VALUE"""),42753.73088842316)</f>
        <v>42753.73089</v>
      </c>
      <c r="C4753" s="1" t="str">
        <f>IFERROR(__xludf.DUMMYFUNCTION("""COMPUTED_VALUE"""),"treatment")</f>
        <v>treatment</v>
      </c>
      <c r="D4753" s="1" t="str">
        <f>IFERROR(__xludf.DUMMYFUNCTION("""COMPUTED_VALUE"""),"new_page")</f>
        <v>new_page</v>
      </c>
      <c r="E4753" s="1">
        <f>IFERROR(__xludf.DUMMYFUNCTION("""COMPUTED_VALUE"""),0.0)</f>
        <v>0</v>
      </c>
    </row>
    <row r="4754">
      <c r="A4754" s="1">
        <f>IFERROR(__xludf.DUMMYFUNCTION("""COMPUTED_VALUE"""),902212.0)</f>
        <v>902212</v>
      </c>
      <c r="B4754" s="2">
        <f>IFERROR(__xludf.DUMMYFUNCTION("""COMPUTED_VALUE"""),42737.77924096691)</f>
        <v>42737.77924</v>
      </c>
      <c r="C4754" s="1" t="str">
        <f>IFERROR(__xludf.DUMMYFUNCTION("""COMPUTED_VALUE"""),"treatment")</f>
        <v>treatment</v>
      </c>
      <c r="D4754" s="1" t="str">
        <f>IFERROR(__xludf.DUMMYFUNCTION("""COMPUTED_VALUE"""),"new_page")</f>
        <v>new_page</v>
      </c>
      <c r="E4754" s="1">
        <f>IFERROR(__xludf.DUMMYFUNCTION("""COMPUTED_VALUE"""),1.0)</f>
        <v>1</v>
      </c>
    </row>
    <row r="4755">
      <c r="A4755" s="1">
        <f>IFERROR(__xludf.DUMMYFUNCTION("""COMPUTED_VALUE"""),638404.0)</f>
        <v>638404</v>
      </c>
      <c r="B4755" s="2">
        <f>IFERROR(__xludf.DUMMYFUNCTION("""COMPUTED_VALUE"""),42758.26612554151)</f>
        <v>42758.26613</v>
      </c>
      <c r="C4755" s="1" t="str">
        <f>IFERROR(__xludf.DUMMYFUNCTION("""COMPUTED_VALUE"""),"control")</f>
        <v>control</v>
      </c>
      <c r="D4755" s="1" t="str">
        <f>IFERROR(__xludf.DUMMYFUNCTION("""COMPUTED_VALUE"""),"old_page")</f>
        <v>old_page</v>
      </c>
      <c r="E4755" s="1">
        <f>IFERROR(__xludf.DUMMYFUNCTION("""COMPUTED_VALUE"""),0.0)</f>
        <v>0</v>
      </c>
    </row>
    <row r="4756">
      <c r="A4756" s="1">
        <f>IFERROR(__xludf.DUMMYFUNCTION("""COMPUTED_VALUE"""),913489.0)</f>
        <v>913489</v>
      </c>
      <c r="B4756" s="2">
        <f>IFERROR(__xludf.DUMMYFUNCTION("""COMPUTED_VALUE"""),42751.15274134281)</f>
        <v>42751.15274</v>
      </c>
      <c r="C4756" s="1" t="str">
        <f>IFERROR(__xludf.DUMMYFUNCTION("""COMPUTED_VALUE"""),"control")</f>
        <v>control</v>
      </c>
      <c r="D4756" s="1" t="str">
        <f>IFERROR(__xludf.DUMMYFUNCTION("""COMPUTED_VALUE"""),"old_page")</f>
        <v>old_page</v>
      </c>
      <c r="E4756" s="1">
        <f>IFERROR(__xludf.DUMMYFUNCTION("""COMPUTED_VALUE"""),0.0)</f>
        <v>0</v>
      </c>
    </row>
    <row r="4757">
      <c r="A4757" s="1">
        <f>IFERROR(__xludf.DUMMYFUNCTION("""COMPUTED_VALUE"""),851494.0)</f>
        <v>851494</v>
      </c>
      <c r="B4757" s="2">
        <f>IFERROR(__xludf.DUMMYFUNCTION("""COMPUTED_VALUE"""),42756.1366544461)</f>
        <v>42756.13665</v>
      </c>
      <c r="C4757" s="1" t="str">
        <f>IFERROR(__xludf.DUMMYFUNCTION("""COMPUTED_VALUE"""),"treatment")</f>
        <v>treatment</v>
      </c>
      <c r="D4757" s="1" t="str">
        <f>IFERROR(__xludf.DUMMYFUNCTION("""COMPUTED_VALUE"""),"new_page")</f>
        <v>new_page</v>
      </c>
      <c r="E4757" s="1">
        <f>IFERROR(__xludf.DUMMYFUNCTION("""COMPUTED_VALUE"""),0.0)</f>
        <v>0</v>
      </c>
    </row>
    <row r="4758">
      <c r="A4758" s="1">
        <f>IFERROR(__xludf.DUMMYFUNCTION("""COMPUTED_VALUE"""),737382.0)</f>
        <v>737382</v>
      </c>
      <c r="B4758" s="2">
        <f>IFERROR(__xludf.DUMMYFUNCTION("""COMPUTED_VALUE"""),42745.6848191301)</f>
        <v>42745.68482</v>
      </c>
      <c r="C4758" s="1" t="str">
        <f>IFERROR(__xludf.DUMMYFUNCTION("""COMPUTED_VALUE"""),"control")</f>
        <v>control</v>
      </c>
      <c r="D4758" s="1" t="str">
        <f>IFERROR(__xludf.DUMMYFUNCTION("""COMPUTED_VALUE"""),"old_page")</f>
        <v>old_page</v>
      </c>
      <c r="E4758" s="1">
        <f>IFERROR(__xludf.DUMMYFUNCTION("""COMPUTED_VALUE"""),0.0)</f>
        <v>0</v>
      </c>
    </row>
    <row r="4759">
      <c r="A4759" s="1">
        <f>IFERROR(__xludf.DUMMYFUNCTION("""COMPUTED_VALUE"""),847711.0)</f>
        <v>847711</v>
      </c>
      <c r="B4759" s="2">
        <f>IFERROR(__xludf.DUMMYFUNCTION("""COMPUTED_VALUE"""),42750.02343608888)</f>
        <v>42750.02344</v>
      </c>
      <c r="C4759" s="1" t="str">
        <f>IFERROR(__xludf.DUMMYFUNCTION("""COMPUTED_VALUE"""),"control")</f>
        <v>control</v>
      </c>
      <c r="D4759" s="1" t="str">
        <f>IFERROR(__xludf.DUMMYFUNCTION("""COMPUTED_VALUE"""),"old_page")</f>
        <v>old_page</v>
      </c>
      <c r="E4759" s="1">
        <f>IFERROR(__xludf.DUMMYFUNCTION("""COMPUTED_VALUE"""),0.0)</f>
        <v>0</v>
      </c>
    </row>
    <row r="4760">
      <c r="A4760" s="1">
        <f>IFERROR(__xludf.DUMMYFUNCTION("""COMPUTED_VALUE"""),776117.0)</f>
        <v>776117</v>
      </c>
      <c r="B4760" s="2">
        <f>IFERROR(__xludf.DUMMYFUNCTION("""COMPUTED_VALUE"""),42746.42904722823)</f>
        <v>42746.42905</v>
      </c>
      <c r="C4760" s="1" t="str">
        <f>IFERROR(__xludf.DUMMYFUNCTION("""COMPUTED_VALUE"""),"treatment")</f>
        <v>treatment</v>
      </c>
      <c r="D4760" s="1" t="str">
        <f>IFERROR(__xludf.DUMMYFUNCTION("""COMPUTED_VALUE"""),"new_page")</f>
        <v>new_page</v>
      </c>
      <c r="E4760" s="1">
        <f>IFERROR(__xludf.DUMMYFUNCTION("""COMPUTED_VALUE"""),0.0)</f>
        <v>0</v>
      </c>
    </row>
    <row r="4761">
      <c r="A4761" s="1">
        <f>IFERROR(__xludf.DUMMYFUNCTION("""COMPUTED_VALUE"""),715626.0)</f>
        <v>715626</v>
      </c>
      <c r="B4761" s="2">
        <f>IFERROR(__xludf.DUMMYFUNCTION("""COMPUTED_VALUE"""),42750.98530547932)</f>
        <v>42750.98531</v>
      </c>
      <c r="C4761" s="1" t="str">
        <f>IFERROR(__xludf.DUMMYFUNCTION("""COMPUTED_VALUE"""),"treatment")</f>
        <v>treatment</v>
      </c>
      <c r="D4761" s="1" t="str">
        <f>IFERROR(__xludf.DUMMYFUNCTION("""COMPUTED_VALUE"""),"new_page")</f>
        <v>new_page</v>
      </c>
      <c r="E4761" s="1">
        <f>IFERROR(__xludf.DUMMYFUNCTION("""COMPUTED_VALUE"""),0.0)</f>
        <v>0</v>
      </c>
    </row>
    <row r="4762">
      <c r="A4762" s="1">
        <f>IFERROR(__xludf.DUMMYFUNCTION("""COMPUTED_VALUE"""),880666.0)</f>
        <v>880666</v>
      </c>
      <c r="B4762" s="2">
        <f>IFERROR(__xludf.DUMMYFUNCTION("""COMPUTED_VALUE"""),42757.34955811457)</f>
        <v>42757.34956</v>
      </c>
      <c r="C4762" s="1" t="str">
        <f>IFERROR(__xludf.DUMMYFUNCTION("""COMPUTED_VALUE"""),"treatment")</f>
        <v>treatment</v>
      </c>
      <c r="D4762" s="1" t="str">
        <f>IFERROR(__xludf.DUMMYFUNCTION("""COMPUTED_VALUE"""),"new_page")</f>
        <v>new_page</v>
      </c>
      <c r="E4762" s="1">
        <f>IFERROR(__xludf.DUMMYFUNCTION("""COMPUTED_VALUE"""),0.0)</f>
        <v>0</v>
      </c>
    </row>
    <row r="4763">
      <c r="A4763" s="1">
        <f>IFERROR(__xludf.DUMMYFUNCTION("""COMPUTED_VALUE"""),666811.0)</f>
        <v>666811</v>
      </c>
      <c r="B4763" s="2">
        <f>IFERROR(__xludf.DUMMYFUNCTION("""COMPUTED_VALUE"""),42739.3350743744)</f>
        <v>42739.33507</v>
      </c>
      <c r="C4763" s="1" t="str">
        <f>IFERROR(__xludf.DUMMYFUNCTION("""COMPUTED_VALUE"""),"treatment")</f>
        <v>treatment</v>
      </c>
      <c r="D4763" s="1" t="str">
        <f>IFERROR(__xludf.DUMMYFUNCTION("""COMPUTED_VALUE"""),"new_page")</f>
        <v>new_page</v>
      </c>
      <c r="E4763" s="1">
        <f>IFERROR(__xludf.DUMMYFUNCTION("""COMPUTED_VALUE"""),0.0)</f>
        <v>0</v>
      </c>
    </row>
    <row r="4764">
      <c r="A4764" s="1">
        <f>IFERROR(__xludf.DUMMYFUNCTION("""COMPUTED_VALUE"""),746941.0)</f>
        <v>746941</v>
      </c>
      <c r="B4764" s="2">
        <f>IFERROR(__xludf.DUMMYFUNCTION("""COMPUTED_VALUE"""),42739.10244616563)</f>
        <v>42739.10245</v>
      </c>
      <c r="C4764" s="1" t="str">
        <f>IFERROR(__xludf.DUMMYFUNCTION("""COMPUTED_VALUE"""),"control")</f>
        <v>control</v>
      </c>
      <c r="D4764" s="1" t="str">
        <f>IFERROR(__xludf.DUMMYFUNCTION("""COMPUTED_VALUE"""),"old_page")</f>
        <v>old_page</v>
      </c>
      <c r="E4764" s="1">
        <f>IFERROR(__xludf.DUMMYFUNCTION("""COMPUTED_VALUE"""),0.0)</f>
        <v>0</v>
      </c>
    </row>
    <row r="4765">
      <c r="A4765" s="1">
        <f>IFERROR(__xludf.DUMMYFUNCTION("""COMPUTED_VALUE"""),910724.0)</f>
        <v>910724</v>
      </c>
      <c r="B4765" s="2">
        <f>IFERROR(__xludf.DUMMYFUNCTION("""COMPUTED_VALUE"""),42750.24703390926)</f>
        <v>42750.24703</v>
      </c>
      <c r="C4765" s="1" t="str">
        <f>IFERROR(__xludf.DUMMYFUNCTION("""COMPUTED_VALUE"""),"treatment")</f>
        <v>treatment</v>
      </c>
      <c r="D4765" s="1" t="str">
        <f>IFERROR(__xludf.DUMMYFUNCTION("""COMPUTED_VALUE"""),"new_page")</f>
        <v>new_page</v>
      </c>
      <c r="E4765" s="1">
        <f>IFERROR(__xludf.DUMMYFUNCTION("""COMPUTED_VALUE"""),0.0)</f>
        <v>0</v>
      </c>
    </row>
    <row r="4766">
      <c r="A4766" s="1">
        <f>IFERROR(__xludf.DUMMYFUNCTION("""COMPUTED_VALUE"""),916556.0)</f>
        <v>916556</v>
      </c>
      <c r="B4766" s="2">
        <f>IFERROR(__xludf.DUMMYFUNCTION("""COMPUTED_VALUE"""),42757.814405079385)</f>
        <v>42757.81441</v>
      </c>
      <c r="C4766" s="1" t="str">
        <f>IFERROR(__xludf.DUMMYFUNCTION("""COMPUTED_VALUE"""),"treatment")</f>
        <v>treatment</v>
      </c>
      <c r="D4766" s="1" t="str">
        <f>IFERROR(__xludf.DUMMYFUNCTION("""COMPUTED_VALUE"""),"new_page")</f>
        <v>new_page</v>
      </c>
      <c r="E4766" s="1">
        <f>IFERROR(__xludf.DUMMYFUNCTION("""COMPUTED_VALUE"""),0.0)</f>
        <v>0</v>
      </c>
    </row>
    <row r="4767">
      <c r="A4767" s="1">
        <f>IFERROR(__xludf.DUMMYFUNCTION("""COMPUTED_VALUE"""),828466.0)</f>
        <v>828466</v>
      </c>
      <c r="B4767" s="2">
        <f>IFERROR(__xludf.DUMMYFUNCTION("""COMPUTED_VALUE"""),42743.54058849688)</f>
        <v>42743.54059</v>
      </c>
      <c r="C4767" s="1" t="str">
        <f>IFERROR(__xludf.DUMMYFUNCTION("""COMPUTED_VALUE"""),"control")</f>
        <v>control</v>
      </c>
      <c r="D4767" s="1" t="str">
        <f>IFERROR(__xludf.DUMMYFUNCTION("""COMPUTED_VALUE"""),"old_page")</f>
        <v>old_page</v>
      </c>
      <c r="E4767" s="1">
        <f>IFERROR(__xludf.DUMMYFUNCTION("""COMPUTED_VALUE"""),0.0)</f>
        <v>0</v>
      </c>
    </row>
    <row r="4768">
      <c r="A4768" s="1">
        <f>IFERROR(__xludf.DUMMYFUNCTION("""COMPUTED_VALUE"""),812852.0)</f>
        <v>812852</v>
      </c>
      <c r="B4768" s="2">
        <f>IFERROR(__xludf.DUMMYFUNCTION("""COMPUTED_VALUE"""),42739.85433349953)</f>
        <v>42739.85433</v>
      </c>
      <c r="C4768" s="1" t="str">
        <f>IFERROR(__xludf.DUMMYFUNCTION("""COMPUTED_VALUE"""),"control")</f>
        <v>control</v>
      </c>
      <c r="D4768" s="1" t="str">
        <f>IFERROR(__xludf.DUMMYFUNCTION("""COMPUTED_VALUE"""),"old_page")</f>
        <v>old_page</v>
      </c>
      <c r="E4768" s="1">
        <f>IFERROR(__xludf.DUMMYFUNCTION("""COMPUTED_VALUE"""),0.0)</f>
        <v>0</v>
      </c>
    </row>
    <row r="4769">
      <c r="A4769" s="1">
        <f>IFERROR(__xludf.DUMMYFUNCTION("""COMPUTED_VALUE"""),652447.0)</f>
        <v>652447</v>
      </c>
      <c r="B4769" s="2">
        <f>IFERROR(__xludf.DUMMYFUNCTION("""COMPUTED_VALUE"""),42743.0104698829)</f>
        <v>42743.01047</v>
      </c>
      <c r="C4769" s="1" t="str">
        <f>IFERROR(__xludf.DUMMYFUNCTION("""COMPUTED_VALUE"""),"treatment")</f>
        <v>treatment</v>
      </c>
      <c r="D4769" s="1" t="str">
        <f>IFERROR(__xludf.DUMMYFUNCTION("""COMPUTED_VALUE"""),"new_page")</f>
        <v>new_page</v>
      </c>
      <c r="E4769" s="1">
        <f>IFERROR(__xludf.DUMMYFUNCTION("""COMPUTED_VALUE"""),0.0)</f>
        <v>0</v>
      </c>
    </row>
    <row r="4770">
      <c r="A4770" s="1">
        <f>IFERROR(__xludf.DUMMYFUNCTION("""COMPUTED_VALUE"""),866398.0)</f>
        <v>866398</v>
      </c>
      <c r="B4770" s="2">
        <f>IFERROR(__xludf.DUMMYFUNCTION("""COMPUTED_VALUE"""),42755.17066755626)</f>
        <v>42755.17067</v>
      </c>
      <c r="C4770" s="1" t="str">
        <f>IFERROR(__xludf.DUMMYFUNCTION("""COMPUTED_VALUE"""),"control")</f>
        <v>control</v>
      </c>
      <c r="D4770" s="1" t="str">
        <f>IFERROR(__xludf.DUMMYFUNCTION("""COMPUTED_VALUE"""),"old_page")</f>
        <v>old_page</v>
      </c>
      <c r="E4770" s="1">
        <f>IFERROR(__xludf.DUMMYFUNCTION("""COMPUTED_VALUE"""),0.0)</f>
        <v>0</v>
      </c>
    </row>
    <row r="4771">
      <c r="A4771" s="1">
        <f>IFERROR(__xludf.DUMMYFUNCTION("""COMPUTED_VALUE"""),846419.0)</f>
        <v>846419</v>
      </c>
      <c r="B4771" s="2">
        <f>IFERROR(__xludf.DUMMYFUNCTION("""COMPUTED_VALUE"""),42738.18722657758)</f>
        <v>42738.18723</v>
      </c>
      <c r="C4771" s="1" t="str">
        <f>IFERROR(__xludf.DUMMYFUNCTION("""COMPUTED_VALUE"""),"treatment")</f>
        <v>treatment</v>
      </c>
      <c r="D4771" s="1" t="str">
        <f>IFERROR(__xludf.DUMMYFUNCTION("""COMPUTED_VALUE"""),"new_page")</f>
        <v>new_page</v>
      </c>
      <c r="E4771" s="1">
        <f>IFERROR(__xludf.DUMMYFUNCTION("""COMPUTED_VALUE"""),0.0)</f>
        <v>0</v>
      </c>
    </row>
    <row r="4772">
      <c r="A4772" s="1">
        <f>IFERROR(__xludf.DUMMYFUNCTION("""COMPUTED_VALUE"""),695337.0)</f>
        <v>695337</v>
      </c>
      <c r="B4772" s="2">
        <f>IFERROR(__xludf.DUMMYFUNCTION("""COMPUTED_VALUE"""),42753.05239869145)</f>
        <v>42753.0524</v>
      </c>
      <c r="C4772" s="1" t="str">
        <f>IFERROR(__xludf.DUMMYFUNCTION("""COMPUTED_VALUE"""),"control")</f>
        <v>control</v>
      </c>
      <c r="D4772" s="1" t="str">
        <f>IFERROR(__xludf.DUMMYFUNCTION("""COMPUTED_VALUE"""),"old_page")</f>
        <v>old_page</v>
      </c>
      <c r="E4772" s="1">
        <f>IFERROR(__xludf.DUMMYFUNCTION("""COMPUTED_VALUE"""),0.0)</f>
        <v>0</v>
      </c>
    </row>
    <row r="4773">
      <c r="A4773" s="1">
        <f>IFERROR(__xludf.DUMMYFUNCTION("""COMPUTED_VALUE"""),889255.0)</f>
        <v>889255</v>
      </c>
      <c r="B4773" s="2">
        <f>IFERROR(__xludf.DUMMYFUNCTION("""COMPUTED_VALUE"""),42753.31418315367)</f>
        <v>42753.31418</v>
      </c>
      <c r="C4773" s="1" t="str">
        <f>IFERROR(__xludf.DUMMYFUNCTION("""COMPUTED_VALUE"""),"treatment")</f>
        <v>treatment</v>
      </c>
      <c r="D4773" s="1" t="str">
        <f>IFERROR(__xludf.DUMMYFUNCTION("""COMPUTED_VALUE"""),"new_page")</f>
        <v>new_page</v>
      </c>
      <c r="E4773" s="1">
        <f>IFERROR(__xludf.DUMMYFUNCTION("""COMPUTED_VALUE"""),0.0)</f>
        <v>0</v>
      </c>
    </row>
    <row r="4774">
      <c r="A4774" s="1">
        <f>IFERROR(__xludf.DUMMYFUNCTION("""COMPUTED_VALUE"""),762478.0)</f>
        <v>762478</v>
      </c>
      <c r="B4774" s="2">
        <f>IFERROR(__xludf.DUMMYFUNCTION("""COMPUTED_VALUE"""),42753.498486535405)</f>
        <v>42753.49849</v>
      </c>
      <c r="C4774" s="1" t="str">
        <f>IFERROR(__xludf.DUMMYFUNCTION("""COMPUTED_VALUE"""),"treatment")</f>
        <v>treatment</v>
      </c>
      <c r="D4774" s="1" t="str">
        <f>IFERROR(__xludf.DUMMYFUNCTION("""COMPUTED_VALUE"""),"new_page")</f>
        <v>new_page</v>
      </c>
      <c r="E4774" s="1">
        <f>IFERROR(__xludf.DUMMYFUNCTION("""COMPUTED_VALUE"""),0.0)</f>
        <v>0</v>
      </c>
    </row>
    <row r="4775">
      <c r="A4775" s="1">
        <f>IFERROR(__xludf.DUMMYFUNCTION("""COMPUTED_VALUE"""),656573.0)</f>
        <v>656573</v>
      </c>
      <c r="B4775" s="2">
        <f>IFERROR(__xludf.DUMMYFUNCTION("""COMPUTED_VALUE"""),42754.60524724361)</f>
        <v>42754.60525</v>
      </c>
      <c r="C4775" s="1" t="str">
        <f>IFERROR(__xludf.DUMMYFUNCTION("""COMPUTED_VALUE"""),"treatment")</f>
        <v>treatment</v>
      </c>
      <c r="D4775" s="1" t="str">
        <f>IFERROR(__xludf.DUMMYFUNCTION("""COMPUTED_VALUE"""),"new_page")</f>
        <v>new_page</v>
      </c>
      <c r="E4775" s="1">
        <f>IFERROR(__xludf.DUMMYFUNCTION("""COMPUTED_VALUE"""),0.0)</f>
        <v>0</v>
      </c>
    </row>
    <row r="4776">
      <c r="A4776" s="1">
        <f>IFERROR(__xludf.DUMMYFUNCTION("""COMPUTED_VALUE"""),773030.0)</f>
        <v>773030</v>
      </c>
      <c r="B4776" s="2">
        <f>IFERROR(__xludf.DUMMYFUNCTION("""COMPUTED_VALUE"""),42756.40057964208)</f>
        <v>42756.40058</v>
      </c>
      <c r="C4776" s="1" t="str">
        <f>IFERROR(__xludf.DUMMYFUNCTION("""COMPUTED_VALUE"""),"treatment")</f>
        <v>treatment</v>
      </c>
      <c r="D4776" s="1" t="str">
        <f>IFERROR(__xludf.DUMMYFUNCTION("""COMPUTED_VALUE"""),"new_page")</f>
        <v>new_page</v>
      </c>
      <c r="E4776" s="1">
        <f>IFERROR(__xludf.DUMMYFUNCTION("""COMPUTED_VALUE"""),0.0)</f>
        <v>0</v>
      </c>
    </row>
    <row r="4777">
      <c r="A4777" s="1">
        <f>IFERROR(__xludf.DUMMYFUNCTION("""COMPUTED_VALUE"""),717587.0)</f>
        <v>717587</v>
      </c>
      <c r="B4777" s="2">
        <f>IFERROR(__xludf.DUMMYFUNCTION("""COMPUTED_VALUE"""),42740.67529422144)</f>
        <v>42740.67529</v>
      </c>
      <c r="C4777" s="1" t="str">
        <f>IFERROR(__xludf.DUMMYFUNCTION("""COMPUTED_VALUE"""),"control")</f>
        <v>control</v>
      </c>
      <c r="D4777" s="1" t="str">
        <f>IFERROR(__xludf.DUMMYFUNCTION("""COMPUTED_VALUE"""),"old_page")</f>
        <v>old_page</v>
      </c>
      <c r="E4777" s="1">
        <f>IFERROR(__xludf.DUMMYFUNCTION("""COMPUTED_VALUE"""),0.0)</f>
        <v>0</v>
      </c>
    </row>
    <row r="4778">
      <c r="A4778" s="1">
        <f>IFERROR(__xludf.DUMMYFUNCTION("""COMPUTED_VALUE"""),784395.0)</f>
        <v>784395</v>
      </c>
      <c r="B4778" s="2">
        <f>IFERROR(__xludf.DUMMYFUNCTION("""COMPUTED_VALUE"""),42738.812369890125)</f>
        <v>42738.81237</v>
      </c>
      <c r="C4778" s="1" t="str">
        <f>IFERROR(__xludf.DUMMYFUNCTION("""COMPUTED_VALUE"""),"treatment")</f>
        <v>treatment</v>
      </c>
      <c r="D4778" s="1" t="str">
        <f>IFERROR(__xludf.DUMMYFUNCTION("""COMPUTED_VALUE"""),"new_page")</f>
        <v>new_page</v>
      </c>
      <c r="E4778" s="1">
        <f>IFERROR(__xludf.DUMMYFUNCTION("""COMPUTED_VALUE"""),0.0)</f>
        <v>0</v>
      </c>
    </row>
    <row r="4779">
      <c r="A4779" s="1">
        <f>IFERROR(__xludf.DUMMYFUNCTION("""COMPUTED_VALUE"""),896122.0)</f>
        <v>896122</v>
      </c>
      <c r="B4779" s="2">
        <f>IFERROR(__xludf.DUMMYFUNCTION("""COMPUTED_VALUE"""),42744.24669828471)</f>
        <v>42744.2467</v>
      </c>
      <c r="C4779" s="1" t="str">
        <f>IFERROR(__xludf.DUMMYFUNCTION("""COMPUTED_VALUE"""),"control")</f>
        <v>control</v>
      </c>
      <c r="D4779" s="1" t="str">
        <f>IFERROR(__xludf.DUMMYFUNCTION("""COMPUTED_VALUE"""),"old_page")</f>
        <v>old_page</v>
      </c>
      <c r="E4779" s="1">
        <f>IFERROR(__xludf.DUMMYFUNCTION("""COMPUTED_VALUE"""),0.0)</f>
        <v>0</v>
      </c>
    </row>
    <row r="4780">
      <c r="A4780" s="1">
        <f>IFERROR(__xludf.DUMMYFUNCTION("""COMPUTED_VALUE"""),898886.0)</f>
        <v>898886</v>
      </c>
      <c r="B4780" s="2">
        <f>IFERROR(__xludf.DUMMYFUNCTION("""COMPUTED_VALUE"""),42751.90948940816)</f>
        <v>42751.90949</v>
      </c>
      <c r="C4780" s="1" t="str">
        <f>IFERROR(__xludf.DUMMYFUNCTION("""COMPUTED_VALUE"""),"treatment")</f>
        <v>treatment</v>
      </c>
      <c r="D4780" s="1" t="str">
        <f>IFERROR(__xludf.DUMMYFUNCTION("""COMPUTED_VALUE"""),"new_page")</f>
        <v>new_page</v>
      </c>
      <c r="E4780" s="1">
        <f>IFERROR(__xludf.DUMMYFUNCTION("""COMPUTED_VALUE"""),0.0)</f>
        <v>0</v>
      </c>
    </row>
    <row r="4781">
      <c r="A4781" s="1">
        <f>IFERROR(__xludf.DUMMYFUNCTION("""COMPUTED_VALUE"""),741866.0)</f>
        <v>741866</v>
      </c>
      <c r="B4781" s="2">
        <f>IFERROR(__xludf.DUMMYFUNCTION("""COMPUTED_VALUE"""),42742.23547020912)</f>
        <v>42742.23547</v>
      </c>
      <c r="C4781" s="1" t="str">
        <f>IFERROR(__xludf.DUMMYFUNCTION("""COMPUTED_VALUE"""),"control")</f>
        <v>control</v>
      </c>
      <c r="D4781" s="1" t="str">
        <f>IFERROR(__xludf.DUMMYFUNCTION("""COMPUTED_VALUE"""),"old_page")</f>
        <v>old_page</v>
      </c>
      <c r="E4781" s="1">
        <f>IFERROR(__xludf.DUMMYFUNCTION("""COMPUTED_VALUE"""),0.0)</f>
        <v>0</v>
      </c>
    </row>
    <row r="4782">
      <c r="A4782" s="1">
        <f>IFERROR(__xludf.DUMMYFUNCTION("""COMPUTED_VALUE"""),699903.0)</f>
        <v>699903</v>
      </c>
      <c r="B4782" s="2">
        <f>IFERROR(__xludf.DUMMYFUNCTION("""COMPUTED_VALUE"""),42753.06858743344)</f>
        <v>42753.06859</v>
      </c>
      <c r="C4782" s="1" t="str">
        <f>IFERROR(__xludf.DUMMYFUNCTION("""COMPUTED_VALUE"""),"control")</f>
        <v>control</v>
      </c>
      <c r="D4782" s="1" t="str">
        <f>IFERROR(__xludf.DUMMYFUNCTION("""COMPUTED_VALUE"""),"old_page")</f>
        <v>old_page</v>
      </c>
      <c r="E4782" s="1">
        <f>IFERROR(__xludf.DUMMYFUNCTION("""COMPUTED_VALUE"""),0.0)</f>
        <v>0</v>
      </c>
    </row>
    <row r="4783">
      <c r="A4783" s="1">
        <f>IFERROR(__xludf.DUMMYFUNCTION("""COMPUTED_VALUE"""),650001.0)</f>
        <v>650001</v>
      </c>
      <c r="B4783" s="2">
        <f>IFERROR(__xludf.DUMMYFUNCTION("""COMPUTED_VALUE"""),42752.098869226305)</f>
        <v>42752.09887</v>
      </c>
      <c r="C4783" s="1" t="str">
        <f>IFERROR(__xludf.DUMMYFUNCTION("""COMPUTED_VALUE"""),"control")</f>
        <v>control</v>
      </c>
      <c r="D4783" s="1" t="str">
        <f>IFERROR(__xludf.DUMMYFUNCTION("""COMPUTED_VALUE"""),"old_page")</f>
        <v>old_page</v>
      </c>
      <c r="E4783" s="1">
        <f>IFERROR(__xludf.DUMMYFUNCTION("""COMPUTED_VALUE"""),0.0)</f>
        <v>0</v>
      </c>
    </row>
    <row r="4784">
      <c r="A4784" s="1">
        <f>IFERROR(__xludf.DUMMYFUNCTION("""COMPUTED_VALUE"""),687048.0)</f>
        <v>687048</v>
      </c>
      <c r="B4784" s="2">
        <f>IFERROR(__xludf.DUMMYFUNCTION("""COMPUTED_VALUE"""),42750.54494143643)</f>
        <v>42750.54494</v>
      </c>
      <c r="C4784" s="1" t="str">
        <f>IFERROR(__xludf.DUMMYFUNCTION("""COMPUTED_VALUE"""),"control")</f>
        <v>control</v>
      </c>
      <c r="D4784" s="1" t="str">
        <f>IFERROR(__xludf.DUMMYFUNCTION("""COMPUTED_VALUE"""),"old_page")</f>
        <v>old_page</v>
      </c>
      <c r="E4784" s="1">
        <f>IFERROR(__xludf.DUMMYFUNCTION("""COMPUTED_VALUE"""),0.0)</f>
        <v>0</v>
      </c>
    </row>
    <row r="4785">
      <c r="A4785" s="1">
        <f>IFERROR(__xludf.DUMMYFUNCTION("""COMPUTED_VALUE"""),723849.0)</f>
        <v>723849</v>
      </c>
      <c r="B4785" s="2">
        <f>IFERROR(__xludf.DUMMYFUNCTION("""COMPUTED_VALUE"""),42759.273191673565)</f>
        <v>42759.27319</v>
      </c>
      <c r="C4785" s="1" t="str">
        <f>IFERROR(__xludf.DUMMYFUNCTION("""COMPUTED_VALUE"""),"treatment")</f>
        <v>treatment</v>
      </c>
      <c r="D4785" s="1" t="str">
        <f>IFERROR(__xludf.DUMMYFUNCTION("""COMPUTED_VALUE"""),"new_page")</f>
        <v>new_page</v>
      </c>
      <c r="E4785" s="1">
        <f>IFERROR(__xludf.DUMMYFUNCTION("""COMPUTED_VALUE"""),1.0)</f>
        <v>1</v>
      </c>
    </row>
    <row r="4786">
      <c r="A4786" s="1">
        <f>IFERROR(__xludf.DUMMYFUNCTION("""COMPUTED_VALUE"""),805531.0)</f>
        <v>805531</v>
      </c>
      <c r="B4786" s="2">
        <f>IFERROR(__xludf.DUMMYFUNCTION("""COMPUTED_VALUE"""),42744.32957875235)</f>
        <v>42744.32958</v>
      </c>
      <c r="C4786" s="1" t="str">
        <f>IFERROR(__xludf.DUMMYFUNCTION("""COMPUTED_VALUE"""),"treatment")</f>
        <v>treatment</v>
      </c>
      <c r="D4786" s="1" t="str">
        <f>IFERROR(__xludf.DUMMYFUNCTION("""COMPUTED_VALUE"""),"new_page")</f>
        <v>new_page</v>
      </c>
      <c r="E4786" s="1">
        <f>IFERROR(__xludf.DUMMYFUNCTION("""COMPUTED_VALUE"""),1.0)</f>
        <v>1</v>
      </c>
    </row>
    <row r="4787">
      <c r="A4787" s="1">
        <f>IFERROR(__xludf.DUMMYFUNCTION("""COMPUTED_VALUE"""),847884.0)</f>
        <v>847884</v>
      </c>
      <c r="B4787" s="2">
        <f>IFERROR(__xludf.DUMMYFUNCTION("""COMPUTED_VALUE"""),42743.093538685716)</f>
        <v>42743.09354</v>
      </c>
      <c r="C4787" s="1" t="str">
        <f>IFERROR(__xludf.DUMMYFUNCTION("""COMPUTED_VALUE"""),"treatment")</f>
        <v>treatment</v>
      </c>
      <c r="D4787" s="1" t="str">
        <f>IFERROR(__xludf.DUMMYFUNCTION("""COMPUTED_VALUE"""),"new_page")</f>
        <v>new_page</v>
      </c>
      <c r="E4787" s="1">
        <f>IFERROR(__xludf.DUMMYFUNCTION("""COMPUTED_VALUE"""),0.0)</f>
        <v>0</v>
      </c>
    </row>
    <row r="4788">
      <c r="A4788" s="1">
        <f>IFERROR(__xludf.DUMMYFUNCTION("""COMPUTED_VALUE"""),890818.0)</f>
        <v>890818</v>
      </c>
      <c r="B4788" s="2">
        <f>IFERROR(__xludf.DUMMYFUNCTION("""COMPUTED_VALUE"""),42751.369166107106)</f>
        <v>42751.36917</v>
      </c>
      <c r="C4788" s="1" t="str">
        <f>IFERROR(__xludf.DUMMYFUNCTION("""COMPUTED_VALUE"""),"control")</f>
        <v>control</v>
      </c>
      <c r="D4788" s="1" t="str">
        <f>IFERROR(__xludf.DUMMYFUNCTION("""COMPUTED_VALUE"""),"old_page")</f>
        <v>old_page</v>
      </c>
      <c r="E4788" s="1">
        <f>IFERROR(__xludf.DUMMYFUNCTION("""COMPUTED_VALUE"""),0.0)</f>
        <v>0</v>
      </c>
    </row>
    <row r="4789">
      <c r="A4789" s="1">
        <f>IFERROR(__xludf.DUMMYFUNCTION("""COMPUTED_VALUE"""),886533.0)</f>
        <v>886533</v>
      </c>
      <c r="B4789" s="2">
        <f>IFERROR(__xludf.DUMMYFUNCTION("""COMPUTED_VALUE"""),42752.3511283604)</f>
        <v>42752.35113</v>
      </c>
      <c r="C4789" s="1" t="str">
        <f>IFERROR(__xludf.DUMMYFUNCTION("""COMPUTED_VALUE"""),"treatment")</f>
        <v>treatment</v>
      </c>
      <c r="D4789" s="1" t="str">
        <f>IFERROR(__xludf.DUMMYFUNCTION("""COMPUTED_VALUE"""),"new_page")</f>
        <v>new_page</v>
      </c>
      <c r="E4789" s="1">
        <f>IFERROR(__xludf.DUMMYFUNCTION("""COMPUTED_VALUE"""),0.0)</f>
        <v>0</v>
      </c>
    </row>
    <row r="4790">
      <c r="A4790" s="1">
        <f>IFERROR(__xludf.DUMMYFUNCTION("""COMPUTED_VALUE"""),801619.0)</f>
        <v>801619</v>
      </c>
      <c r="B4790" s="2">
        <f>IFERROR(__xludf.DUMMYFUNCTION("""COMPUTED_VALUE"""),42739.59675712535)</f>
        <v>42739.59676</v>
      </c>
      <c r="C4790" s="1" t="str">
        <f>IFERROR(__xludf.DUMMYFUNCTION("""COMPUTED_VALUE"""),"control")</f>
        <v>control</v>
      </c>
      <c r="D4790" s="1" t="str">
        <f>IFERROR(__xludf.DUMMYFUNCTION("""COMPUTED_VALUE"""),"old_page")</f>
        <v>old_page</v>
      </c>
      <c r="E4790" s="1">
        <f>IFERROR(__xludf.DUMMYFUNCTION("""COMPUTED_VALUE"""),0.0)</f>
        <v>0</v>
      </c>
    </row>
    <row r="4791">
      <c r="A4791" s="1">
        <f>IFERROR(__xludf.DUMMYFUNCTION("""COMPUTED_VALUE"""),687092.0)</f>
        <v>687092</v>
      </c>
      <c r="B4791" s="2">
        <f>IFERROR(__xludf.DUMMYFUNCTION("""COMPUTED_VALUE"""),42739.001851350615)</f>
        <v>42739.00185</v>
      </c>
      <c r="C4791" s="1" t="str">
        <f>IFERROR(__xludf.DUMMYFUNCTION("""COMPUTED_VALUE"""),"treatment")</f>
        <v>treatment</v>
      </c>
      <c r="D4791" s="1" t="str">
        <f>IFERROR(__xludf.DUMMYFUNCTION("""COMPUTED_VALUE"""),"new_page")</f>
        <v>new_page</v>
      </c>
      <c r="E4791" s="1">
        <f>IFERROR(__xludf.DUMMYFUNCTION("""COMPUTED_VALUE"""),0.0)</f>
        <v>0</v>
      </c>
    </row>
    <row r="4792">
      <c r="A4792" s="1">
        <f>IFERROR(__xludf.DUMMYFUNCTION("""COMPUTED_VALUE"""),895211.0)</f>
        <v>895211</v>
      </c>
      <c r="B4792" s="2">
        <f>IFERROR(__xludf.DUMMYFUNCTION("""COMPUTED_VALUE"""),42742.305149752734)</f>
        <v>42742.30515</v>
      </c>
      <c r="C4792" s="1" t="str">
        <f>IFERROR(__xludf.DUMMYFUNCTION("""COMPUTED_VALUE"""),"treatment")</f>
        <v>treatment</v>
      </c>
      <c r="D4792" s="1" t="str">
        <f>IFERROR(__xludf.DUMMYFUNCTION("""COMPUTED_VALUE"""),"new_page")</f>
        <v>new_page</v>
      </c>
      <c r="E4792" s="1">
        <f>IFERROR(__xludf.DUMMYFUNCTION("""COMPUTED_VALUE"""),0.0)</f>
        <v>0</v>
      </c>
    </row>
    <row r="4793">
      <c r="A4793" s="1">
        <f>IFERROR(__xludf.DUMMYFUNCTION("""COMPUTED_VALUE"""),922557.0)</f>
        <v>922557</v>
      </c>
      <c r="B4793" s="2">
        <f>IFERROR(__xludf.DUMMYFUNCTION("""COMPUTED_VALUE"""),42738.23126887042)</f>
        <v>42738.23127</v>
      </c>
      <c r="C4793" s="1" t="str">
        <f>IFERROR(__xludf.DUMMYFUNCTION("""COMPUTED_VALUE"""),"control")</f>
        <v>control</v>
      </c>
      <c r="D4793" s="1" t="str">
        <f>IFERROR(__xludf.DUMMYFUNCTION("""COMPUTED_VALUE"""),"old_page")</f>
        <v>old_page</v>
      </c>
      <c r="E4793" s="1">
        <f>IFERROR(__xludf.DUMMYFUNCTION("""COMPUTED_VALUE"""),0.0)</f>
        <v>0</v>
      </c>
    </row>
    <row r="4794">
      <c r="A4794" s="1">
        <f>IFERROR(__xludf.DUMMYFUNCTION("""COMPUTED_VALUE"""),936655.0)</f>
        <v>936655</v>
      </c>
      <c r="B4794" s="2">
        <f>IFERROR(__xludf.DUMMYFUNCTION("""COMPUTED_VALUE"""),42746.16664075796)</f>
        <v>42746.16664</v>
      </c>
      <c r="C4794" s="1" t="str">
        <f>IFERROR(__xludf.DUMMYFUNCTION("""COMPUTED_VALUE"""),"treatment")</f>
        <v>treatment</v>
      </c>
      <c r="D4794" s="1" t="str">
        <f>IFERROR(__xludf.DUMMYFUNCTION("""COMPUTED_VALUE"""),"new_page")</f>
        <v>new_page</v>
      </c>
      <c r="E4794" s="1">
        <f>IFERROR(__xludf.DUMMYFUNCTION("""COMPUTED_VALUE"""),0.0)</f>
        <v>0</v>
      </c>
    </row>
    <row r="4795">
      <c r="A4795" s="1">
        <f>IFERROR(__xludf.DUMMYFUNCTION("""COMPUTED_VALUE"""),677397.0)</f>
        <v>677397</v>
      </c>
      <c r="B4795" s="2">
        <f>IFERROR(__xludf.DUMMYFUNCTION("""COMPUTED_VALUE"""),42752.98171593445)</f>
        <v>42752.98172</v>
      </c>
      <c r="C4795" s="1" t="str">
        <f>IFERROR(__xludf.DUMMYFUNCTION("""COMPUTED_VALUE"""),"treatment")</f>
        <v>treatment</v>
      </c>
      <c r="D4795" s="1" t="str">
        <f>IFERROR(__xludf.DUMMYFUNCTION("""COMPUTED_VALUE"""),"new_page")</f>
        <v>new_page</v>
      </c>
      <c r="E4795" s="1">
        <f>IFERROR(__xludf.DUMMYFUNCTION("""COMPUTED_VALUE"""),0.0)</f>
        <v>0</v>
      </c>
    </row>
    <row r="4796">
      <c r="A4796" s="1">
        <f>IFERROR(__xludf.DUMMYFUNCTION("""COMPUTED_VALUE"""),833408.0)</f>
        <v>833408</v>
      </c>
      <c r="B4796" s="2">
        <f>IFERROR(__xludf.DUMMYFUNCTION("""COMPUTED_VALUE"""),42745.48207837962)</f>
        <v>42745.48208</v>
      </c>
      <c r="C4796" s="1" t="str">
        <f>IFERROR(__xludf.DUMMYFUNCTION("""COMPUTED_VALUE"""),"control")</f>
        <v>control</v>
      </c>
      <c r="D4796" s="1" t="str">
        <f>IFERROR(__xludf.DUMMYFUNCTION("""COMPUTED_VALUE"""),"old_page")</f>
        <v>old_page</v>
      </c>
      <c r="E4796" s="1">
        <f>IFERROR(__xludf.DUMMYFUNCTION("""COMPUTED_VALUE"""),0.0)</f>
        <v>0</v>
      </c>
    </row>
    <row r="4797">
      <c r="A4797" s="1">
        <f>IFERROR(__xludf.DUMMYFUNCTION("""COMPUTED_VALUE"""),815572.0)</f>
        <v>815572</v>
      </c>
      <c r="B4797" s="2">
        <f>IFERROR(__xludf.DUMMYFUNCTION("""COMPUTED_VALUE"""),42738.579710713486)</f>
        <v>42738.57971</v>
      </c>
      <c r="C4797" s="1" t="str">
        <f>IFERROR(__xludf.DUMMYFUNCTION("""COMPUTED_VALUE"""),"treatment")</f>
        <v>treatment</v>
      </c>
      <c r="D4797" s="1" t="str">
        <f>IFERROR(__xludf.DUMMYFUNCTION("""COMPUTED_VALUE"""),"new_page")</f>
        <v>new_page</v>
      </c>
      <c r="E4797" s="1">
        <f>IFERROR(__xludf.DUMMYFUNCTION("""COMPUTED_VALUE"""),0.0)</f>
        <v>0</v>
      </c>
    </row>
    <row r="4798">
      <c r="A4798" s="1">
        <f>IFERROR(__xludf.DUMMYFUNCTION("""COMPUTED_VALUE"""),810804.0)</f>
        <v>810804</v>
      </c>
      <c r="B4798" s="2">
        <f>IFERROR(__xludf.DUMMYFUNCTION("""COMPUTED_VALUE"""),42746.43866555392)</f>
        <v>42746.43867</v>
      </c>
      <c r="C4798" s="1" t="str">
        <f>IFERROR(__xludf.DUMMYFUNCTION("""COMPUTED_VALUE"""),"control")</f>
        <v>control</v>
      </c>
      <c r="D4798" s="1" t="str">
        <f>IFERROR(__xludf.DUMMYFUNCTION("""COMPUTED_VALUE"""),"old_page")</f>
        <v>old_page</v>
      </c>
      <c r="E4798" s="1">
        <f>IFERROR(__xludf.DUMMYFUNCTION("""COMPUTED_VALUE"""),0.0)</f>
        <v>0</v>
      </c>
    </row>
    <row r="4799">
      <c r="A4799" s="1">
        <f>IFERROR(__xludf.DUMMYFUNCTION("""COMPUTED_VALUE"""),816565.0)</f>
        <v>816565</v>
      </c>
      <c r="B4799" s="2">
        <f>IFERROR(__xludf.DUMMYFUNCTION("""COMPUTED_VALUE"""),42758.942923441115)</f>
        <v>42758.94292</v>
      </c>
      <c r="C4799" s="1" t="str">
        <f>IFERROR(__xludf.DUMMYFUNCTION("""COMPUTED_VALUE"""),"control")</f>
        <v>control</v>
      </c>
      <c r="D4799" s="1" t="str">
        <f>IFERROR(__xludf.DUMMYFUNCTION("""COMPUTED_VALUE"""),"old_page")</f>
        <v>old_page</v>
      </c>
      <c r="E4799" s="1">
        <f>IFERROR(__xludf.DUMMYFUNCTION("""COMPUTED_VALUE"""),0.0)</f>
        <v>0</v>
      </c>
    </row>
    <row r="4800">
      <c r="A4800" s="1">
        <f>IFERROR(__xludf.DUMMYFUNCTION("""COMPUTED_VALUE"""),751205.0)</f>
        <v>751205</v>
      </c>
      <c r="B4800" s="2">
        <f>IFERROR(__xludf.DUMMYFUNCTION("""COMPUTED_VALUE"""),42745.669680583494)</f>
        <v>42745.66968</v>
      </c>
      <c r="C4800" s="1" t="str">
        <f>IFERROR(__xludf.DUMMYFUNCTION("""COMPUTED_VALUE"""),"control")</f>
        <v>control</v>
      </c>
      <c r="D4800" s="1" t="str">
        <f>IFERROR(__xludf.DUMMYFUNCTION("""COMPUTED_VALUE"""),"old_page")</f>
        <v>old_page</v>
      </c>
      <c r="E4800" s="1">
        <f>IFERROR(__xludf.DUMMYFUNCTION("""COMPUTED_VALUE"""),0.0)</f>
        <v>0</v>
      </c>
    </row>
    <row r="4801">
      <c r="A4801" s="1">
        <f>IFERROR(__xludf.DUMMYFUNCTION("""COMPUTED_VALUE"""),871176.0)</f>
        <v>871176</v>
      </c>
      <c r="B4801" s="2">
        <f>IFERROR(__xludf.DUMMYFUNCTION("""COMPUTED_VALUE"""),42758.85591529471)</f>
        <v>42758.85592</v>
      </c>
      <c r="C4801" s="1" t="str">
        <f>IFERROR(__xludf.DUMMYFUNCTION("""COMPUTED_VALUE"""),"treatment")</f>
        <v>treatment</v>
      </c>
      <c r="D4801" s="1" t="str">
        <f>IFERROR(__xludf.DUMMYFUNCTION("""COMPUTED_VALUE"""),"new_page")</f>
        <v>new_page</v>
      </c>
      <c r="E4801" s="1">
        <f>IFERROR(__xludf.DUMMYFUNCTION("""COMPUTED_VALUE"""),1.0)</f>
        <v>1</v>
      </c>
    </row>
    <row r="4802">
      <c r="A4802" s="1">
        <f>IFERROR(__xludf.DUMMYFUNCTION("""COMPUTED_VALUE"""),925994.0)</f>
        <v>925994</v>
      </c>
      <c r="B4802" s="2">
        <f>IFERROR(__xludf.DUMMYFUNCTION("""COMPUTED_VALUE"""),42754.71224526722)</f>
        <v>42754.71225</v>
      </c>
      <c r="C4802" s="1" t="str">
        <f>IFERROR(__xludf.DUMMYFUNCTION("""COMPUTED_VALUE"""),"treatment")</f>
        <v>treatment</v>
      </c>
      <c r="D4802" s="1" t="str">
        <f>IFERROR(__xludf.DUMMYFUNCTION("""COMPUTED_VALUE"""),"new_page")</f>
        <v>new_page</v>
      </c>
      <c r="E4802" s="1">
        <f>IFERROR(__xludf.DUMMYFUNCTION("""COMPUTED_VALUE"""),1.0)</f>
        <v>1</v>
      </c>
    </row>
    <row r="4803">
      <c r="A4803" s="1">
        <f>IFERROR(__xludf.DUMMYFUNCTION("""COMPUTED_VALUE"""),817332.0)</f>
        <v>817332</v>
      </c>
      <c r="B4803" s="2">
        <f>IFERROR(__xludf.DUMMYFUNCTION("""COMPUTED_VALUE"""),42757.029788918735)</f>
        <v>42757.02979</v>
      </c>
      <c r="C4803" s="1" t="str">
        <f>IFERROR(__xludf.DUMMYFUNCTION("""COMPUTED_VALUE"""),"control")</f>
        <v>control</v>
      </c>
      <c r="D4803" s="1" t="str">
        <f>IFERROR(__xludf.DUMMYFUNCTION("""COMPUTED_VALUE"""),"old_page")</f>
        <v>old_page</v>
      </c>
      <c r="E4803" s="1">
        <f>IFERROR(__xludf.DUMMYFUNCTION("""COMPUTED_VALUE"""),0.0)</f>
        <v>0</v>
      </c>
    </row>
    <row r="4804">
      <c r="A4804" s="1">
        <f>IFERROR(__xludf.DUMMYFUNCTION("""COMPUTED_VALUE"""),781468.0)</f>
        <v>781468</v>
      </c>
      <c r="B4804" s="2">
        <f>IFERROR(__xludf.DUMMYFUNCTION("""COMPUTED_VALUE"""),42746.95496639316)</f>
        <v>42746.95497</v>
      </c>
      <c r="C4804" s="1" t="str">
        <f>IFERROR(__xludf.DUMMYFUNCTION("""COMPUTED_VALUE"""),"treatment")</f>
        <v>treatment</v>
      </c>
      <c r="D4804" s="1" t="str">
        <f>IFERROR(__xludf.DUMMYFUNCTION("""COMPUTED_VALUE"""),"new_page")</f>
        <v>new_page</v>
      </c>
      <c r="E4804" s="1">
        <f>IFERROR(__xludf.DUMMYFUNCTION("""COMPUTED_VALUE"""),0.0)</f>
        <v>0</v>
      </c>
    </row>
    <row r="4805">
      <c r="A4805" s="1">
        <f>IFERROR(__xludf.DUMMYFUNCTION("""COMPUTED_VALUE"""),648559.0)</f>
        <v>648559</v>
      </c>
      <c r="B4805" s="2">
        <f>IFERROR(__xludf.DUMMYFUNCTION("""COMPUTED_VALUE"""),42752.73625367177)</f>
        <v>42752.73625</v>
      </c>
      <c r="C4805" s="1" t="str">
        <f>IFERROR(__xludf.DUMMYFUNCTION("""COMPUTED_VALUE"""),"treatment")</f>
        <v>treatment</v>
      </c>
      <c r="D4805" s="1" t="str">
        <f>IFERROR(__xludf.DUMMYFUNCTION("""COMPUTED_VALUE"""),"new_page")</f>
        <v>new_page</v>
      </c>
      <c r="E4805" s="1">
        <f>IFERROR(__xludf.DUMMYFUNCTION("""COMPUTED_VALUE"""),0.0)</f>
        <v>0</v>
      </c>
    </row>
    <row r="4806">
      <c r="A4806" s="1">
        <f>IFERROR(__xludf.DUMMYFUNCTION("""COMPUTED_VALUE"""),780807.0)</f>
        <v>780807</v>
      </c>
      <c r="B4806" s="2">
        <f>IFERROR(__xludf.DUMMYFUNCTION("""COMPUTED_VALUE"""),42749.46324265495)</f>
        <v>42749.46324</v>
      </c>
      <c r="C4806" s="1" t="str">
        <f>IFERROR(__xludf.DUMMYFUNCTION("""COMPUTED_VALUE"""),"treatment")</f>
        <v>treatment</v>
      </c>
      <c r="D4806" s="1" t="str">
        <f>IFERROR(__xludf.DUMMYFUNCTION("""COMPUTED_VALUE"""),"new_page")</f>
        <v>new_page</v>
      </c>
      <c r="E4806" s="1">
        <f>IFERROR(__xludf.DUMMYFUNCTION("""COMPUTED_VALUE"""),0.0)</f>
        <v>0</v>
      </c>
    </row>
    <row r="4807">
      <c r="A4807" s="1">
        <f>IFERROR(__xludf.DUMMYFUNCTION("""COMPUTED_VALUE"""),688612.0)</f>
        <v>688612</v>
      </c>
      <c r="B4807" s="2">
        <f>IFERROR(__xludf.DUMMYFUNCTION("""COMPUTED_VALUE"""),42747.6065380163)</f>
        <v>42747.60654</v>
      </c>
      <c r="C4807" s="1" t="str">
        <f>IFERROR(__xludf.DUMMYFUNCTION("""COMPUTED_VALUE"""),"treatment")</f>
        <v>treatment</v>
      </c>
      <c r="D4807" s="1" t="str">
        <f>IFERROR(__xludf.DUMMYFUNCTION("""COMPUTED_VALUE"""),"new_page")</f>
        <v>new_page</v>
      </c>
      <c r="E4807" s="1">
        <f>IFERROR(__xludf.DUMMYFUNCTION("""COMPUTED_VALUE"""),0.0)</f>
        <v>0</v>
      </c>
    </row>
    <row r="4808">
      <c r="A4808" s="1">
        <f>IFERROR(__xludf.DUMMYFUNCTION("""COMPUTED_VALUE"""),934143.0)</f>
        <v>934143</v>
      </c>
      <c r="B4808" s="2">
        <f>IFERROR(__xludf.DUMMYFUNCTION("""COMPUTED_VALUE"""),42759.38774137965)</f>
        <v>42759.38774</v>
      </c>
      <c r="C4808" s="1" t="str">
        <f>IFERROR(__xludf.DUMMYFUNCTION("""COMPUTED_VALUE"""),"treatment")</f>
        <v>treatment</v>
      </c>
      <c r="D4808" s="1" t="str">
        <f>IFERROR(__xludf.DUMMYFUNCTION("""COMPUTED_VALUE"""),"new_page")</f>
        <v>new_page</v>
      </c>
      <c r="E4808" s="1">
        <f>IFERROR(__xludf.DUMMYFUNCTION("""COMPUTED_VALUE"""),0.0)</f>
        <v>0</v>
      </c>
    </row>
    <row r="4809">
      <c r="A4809" s="1">
        <f>IFERROR(__xludf.DUMMYFUNCTION("""COMPUTED_VALUE"""),657334.0)</f>
        <v>657334</v>
      </c>
      <c r="B4809" s="2">
        <f>IFERROR(__xludf.DUMMYFUNCTION("""COMPUTED_VALUE"""),42738.61468753824)</f>
        <v>42738.61469</v>
      </c>
      <c r="C4809" s="1" t="str">
        <f>IFERROR(__xludf.DUMMYFUNCTION("""COMPUTED_VALUE"""),"control")</f>
        <v>control</v>
      </c>
      <c r="D4809" s="1" t="str">
        <f>IFERROR(__xludf.DUMMYFUNCTION("""COMPUTED_VALUE"""),"old_page")</f>
        <v>old_page</v>
      </c>
      <c r="E4809" s="1">
        <f>IFERROR(__xludf.DUMMYFUNCTION("""COMPUTED_VALUE"""),1.0)</f>
        <v>1</v>
      </c>
    </row>
    <row r="4810">
      <c r="A4810" s="1">
        <f>IFERROR(__xludf.DUMMYFUNCTION("""COMPUTED_VALUE"""),883149.0)</f>
        <v>883149</v>
      </c>
      <c r="B4810" s="2">
        <f>IFERROR(__xludf.DUMMYFUNCTION("""COMPUTED_VALUE"""),42737.64042121259)</f>
        <v>42737.64042</v>
      </c>
      <c r="C4810" s="1" t="str">
        <f>IFERROR(__xludf.DUMMYFUNCTION("""COMPUTED_VALUE"""),"control")</f>
        <v>control</v>
      </c>
      <c r="D4810" s="1" t="str">
        <f>IFERROR(__xludf.DUMMYFUNCTION("""COMPUTED_VALUE"""),"old_page")</f>
        <v>old_page</v>
      </c>
      <c r="E4810" s="1">
        <f>IFERROR(__xludf.DUMMYFUNCTION("""COMPUTED_VALUE"""),0.0)</f>
        <v>0</v>
      </c>
    </row>
    <row r="4811">
      <c r="A4811" s="1">
        <f>IFERROR(__xludf.DUMMYFUNCTION("""COMPUTED_VALUE"""),701483.0)</f>
        <v>701483</v>
      </c>
      <c r="B4811" s="2">
        <f>IFERROR(__xludf.DUMMYFUNCTION("""COMPUTED_VALUE"""),42744.13701469202)</f>
        <v>42744.13701</v>
      </c>
      <c r="C4811" s="1" t="str">
        <f>IFERROR(__xludf.DUMMYFUNCTION("""COMPUTED_VALUE"""),"control")</f>
        <v>control</v>
      </c>
      <c r="D4811" s="1" t="str">
        <f>IFERROR(__xludf.DUMMYFUNCTION("""COMPUTED_VALUE"""),"old_page")</f>
        <v>old_page</v>
      </c>
      <c r="E4811" s="1">
        <f>IFERROR(__xludf.DUMMYFUNCTION("""COMPUTED_VALUE"""),0.0)</f>
        <v>0</v>
      </c>
    </row>
    <row r="4812">
      <c r="A4812" s="1">
        <f>IFERROR(__xludf.DUMMYFUNCTION("""COMPUTED_VALUE"""),862436.0)</f>
        <v>862436</v>
      </c>
      <c r="B4812" s="2">
        <f>IFERROR(__xludf.DUMMYFUNCTION("""COMPUTED_VALUE"""),42746.44248697635)</f>
        <v>42746.44249</v>
      </c>
      <c r="C4812" s="1" t="str">
        <f>IFERROR(__xludf.DUMMYFUNCTION("""COMPUTED_VALUE"""),"treatment")</f>
        <v>treatment</v>
      </c>
      <c r="D4812" s="1" t="str">
        <f>IFERROR(__xludf.DUMMYFUNCTION("""COMPUTED_VALUE"""),"new_page")</f>
        <v>new_page</v>
      </c>
      <c r="E4812" s="1">
        <f>IFERROR(__xludf.DUMMYFUNCTION("""COMPUTED_VALUE"""),0.0)</f>
        <v>0</v>
      </c>
    </row>
    <row r="4813">
      <c r="A4813" s="1">
        <f>IFERROR(__xludf.DUMMYFUNCTION("""COMPUTED_VALUE"""),764121.0)</f>
        <v>764121</v>
      </c>
      <c r="B4813" s="2">
        <f>IFERROR(__xludf.DUMMYFUNCTION("""COMPUTED_VALUE"""),42743.57660473121)</f>
        <v>42743.5766</v>
      </c>
      <c r="C4813" s="1" t="str">
        <f>IFERROR(__xludf.DUMMYFUNCTION("""COMPUTED_VALUE"""),"treatment")</f>
        <v>treatment</v>
      </c>
      <c r="D4813" s="1" t="str">
        <f>IFERROR(__xludf.DUMMYFUNCTION("""COMPUTED_VALUE"""),"new_page")</f>
        <v>new_page</v>
      </c>
      <c r="E4813" s="1">
        <f>IFERROR(__xludf.DUMMYFUNCTION("""COMPUTED_VALUE"""),0.0)</f>
        <v>0</v>
      </c>
    </row>
    <row r="4814">
      <c r="A4814" s="1">
        <f>IFERROR(__xludf.DUMMYFUNCTION("""COMPUTED_VALUE"""),847199.0)</f>
        <v>847199</v>
      </c>
      <c r="B4814" s="2">
        <f>IFERROR(__xludf.DUMMYFUNCTION("""COMPUTED_VALUE"""),42739.48276693052)</f>
        <v>42739.48277</v>
      </c>
      <c r="C4814" s="1" t="str">
        <f>IFERROR(__xludf.DUMMYFUNCTION("""COMPUTED_VALUE"""),"treatment")</f>
        <v>treatment</v>
      </c>
      <c r="D4814" s="1" t="str">
        <f>IFERROR(__xludf.DUMMYFUNCTION("""COMPUTED_VALUE"""),"new_page")</f>
        <v>new_page</v>
      </c>
      <c r="E4814" s="1">
        <f>IFERROR(__xludf.DUMMYFUNCTION("""COMPUTED_VALUE"""),0.0)</f>
        <v>0</v>
      </c>
    </row>
    <row r="4815">
      <c r="A4815" s="1">
        <f>IFERROR(__xludf.DUMMYFUNCTION("""COMPUTED_VALUE"""),659474.0)</f>
        <v>659474</v>
      </c>
      <c r="B4815" s="2">
        <f>IFERROR(__xludf.DUMMYFUNCTION("""COMPUTED_VALUE"""),42745.86127957563)</f>
        <v>42745.86128</v>
      </c>
      <c r="C4815" s="1" t="str">
        <f>IFERROR(__xludf.DUMMYFUNCTION("""COMPUTED_VALUE"""),"control")</f>
        <v>control</v>
      </c>
      <c r="D4815" s="1" t="str">
        <f>IFERROR(__xludf.DUMMYFUNCTION("""COMPUTED_VALUE"""),"old_page")</f>
        <v>old_page</v>
      </c>
      <c r="E4815" s="1">
        <f>IFERROR(__xludf.DUMMYFUNCTION("""COMPUTED_VALUE"""),0.0)</f>
        <v>0</v>
      </c>
    </row>
    <row r="4816">
      <c r="A4816" s="1">
        <f>IFERROR(__xludf.DUMMYFUNCTION("""COMPUTED_VALUE"""),898730.0)</f>
        <v>898730</v>
      </c>
      <c r="B4816" s="2">
        <f>IFERROR(__xludf.DUMMYFUNCTION("""COMPUTED_VALUE"""),42754.48024282904)</f>
        <v>42754.48024</v>
      </c>
      <c r="C4816" s="1" t="str">
        <f>IFERROR(__xludf.DUMMYFUNCTION("""COMPUTED_VALUE"""),"control")</f>
        <v>control</v>
      </c>
      <c r="D4816" s="1" t="str">
        <f>IFERROR(__xludf.DUMMYFUNCTION("""COMPUTED_VALUE"""),"old_page")</f>
        <v>old_page</v>
      </c>
      <c r="E4816" s="1">
        <f>IFERROR(__xludf.DUMMYFUNCTION("""COMPUTED_VALUE"""),0.0)</f>
        <v>0</v>
      </c>
    </row>
    <row r="4817">
      <c r="A4817" s="1">
        <f>IFERROR(__xludf.DUMMYFUNCTION("""COMPUTED_VALUE"""),634751.0)</f>
        <v>634751</v>
      </c>
      <c r="B4817" s="2">
        <f>IFERROR(__xludf.DUMMYFUNCTION("""COMPUTED_VALUE"""),42747.95566068884)</f>
        <v>42747.95566</v>
      </c>
      <c r="C4817" s="1" t="str">
        <f>IFERROR(__xludf.DUMMYFUNCTION("""COMPUTED_VALUE"""),"treatment")</f>
        <v>treatment</v>
      </c>
      <c r="D4817" s="1" t="str">
        <f>IFERROR(__xludf.DUMMYFUNCTION("""COMPUTED_VALUE"""),"new_page")</f>
        <v>new_page</v>
      </c>
      <c r="E4817" s="1">
        <f>IFERROR(__xludf.DUMMYFUNCTION("""COMPUTED_VALUE"""),0.0)</f>
        <v>0</v>
      </c>
    </row>
    <row r="4818">
      <c r="A4818" s="1">
        <f>IFERROR(__xludf.DUMMYFUNCTION("""COMPUTED_VALUE"""),788108.0)</f>
        <v>788108</v>
      </c>
      <c r="B4818" s="2">
        <f>IFERROR(__xludf.DUMMYFUNCTION("""COMPUTED_VALUE"""),42737.885755877265)</f>
        <v>42737.88576</v>
      </c>
      <c r="C4818" s="1" t="str">
        <f>IFERROR(__xludf.DUMMYFUNCTION("""COMPUTED_VALUE"""),"control")</f>
        <v>control</v>
      </c>
      <c r="D4818" s="1" t="str">
        <f>IFERROR(__xludf.DUMMYFUNCTION("""COMPUTED_VALUE"""),"old_page")</f>
        <v>old_page</v>
      </c>
      <c r="E4818" s="1">
        <f>IFERROR(__xludf.DUMMYFUNCTION("""COMPUTED_VALUE"""),1.0)</f>
        <v>1</v>
      </c>
    </row>
    <row r="4819">
      <c r="A4819" s="1">
        <f>IFERROR(__xludf.DUMMYFUNCTION("""COMPUTED_VALUE"""),829190.0)</f>
        <v>829190</v>
      </c>
      <c r="B4819" s="2">
        <f>IFERROR(__xludf.DUMMYFUNCTION("""COMPUTED_VALUE"""),42758.682167180355)</f>
        <v>42758.68217</v>
      </c>
      <c r="C4819" s="1" t="str">
        <f>IFERROR(__xludf.DUMMYFUNCTION("""COMPUTED_VALUE"""),"treatment")</f>
        <v>treatment</v>
      </c>
      <c r="D4819" s="1" t="str">
        <f>IFERROR(__xludf.DUMMYFUNCTION("""COMPUTED_VALUE"""),"new_page")</f>
        <v>new_page</v>
      </c>
      <c r="E4819" s="1">
        <f>IFERROR(__xludf.DUMMYFUNCTION("""COMPUTED_VALUE"""),0.0)</f>
        <v>0</v>
      </c>
    </row>
    <row r="4820">
      <c r="A4820" s="1">
        <f>IFERROR(__xludf.DUMMYFUNCTION("""COMPUTED_VALUE"""),870822.0)</f>
        <v>870822</v>
      </c>
      <c r="B4820" s="2">
        <f>IFERROR(__xludf.DUMMYFUNCTION("""COMPUTED_VALUE"""),42738.238881483485)</f>
        <v>42738.23888</v>
      </c>
      <c r="C4820" s="1" t="str">
        <f>IFERROR(__xludf.DUMMYFUNCTION("""COMPUTED_VALUE"""),"control")</f>
        <v>control</v>
      </c>
      <c r="D4820" s="1" t="str">
        <f>IFERROR(__xludf.DUMMYFUNCTION("""COMPUTED_VALUE"""),"old_page")</f>
        <v>old_page</v>
      </c>
      <c r="E4820" s="1">
        <f>IFERROR(__xludf.DUMMYFUNCTION("""COMPUTED_VALUE"""),0.0)</f>
        <v>0</v>
      </c>
    </row>
    <row r="4821">
      <c r="A4821" s="1">
        <f>IFERROR(__xludf.DUMMYFUNCTION("""COMPUTED_VALUE"""),738142.0)</f>
        <v>738142</v>
      </c>
      <c r="B4821" s="2">
        <f>IFERROR(__xludf.DUMMYFUNCTION("""COMPUTED_VALUE"""),42745.86706341152)</f>
        <v>42745.86706</v>
      </c>
      <c r="C4821" s="1" t="str">
        <f>IFERROR(__xludf.DUMMYFUNCTION("""COMPUTED_VALUE"""),"treatment")</f>
        <v>treatment</v>
      </c>
      <c r="D4821" s="1" t="str">
        <f>IFERROR(__xludf.DUMMYFUNCTION("""COMPUTED_VALUE"""),"new_page")</f>
        <v>new_page</v>
      </c>
      <c r="E4821" s="1">
        <f>IFERROR(__xludf.DUMMYFUNCTION("""COMPUTED_VALUE"""),0.0)</f>
        <v>0</v>
      </c>
    </row>
    <row r="4822">
      <c r="A4822" s="1">
        <f>IFERROR(__xludf.DUMMYFUNCTION("""COMPUTED_VALUE"""),797023.0)</f>
        <v>797023</v>
      </c>
      <c r="B4822" s="2">
        <f>IFERROR(__xludf.DUMMYFUNCTION("""COMPUTED_VALUE"""),42750.505967144585)</f>
        <v>42750.50597</v>
      </c>
      <c r="C4822" s="1" t="str">
        <f>IFERROR(__xludf.DUMMYFUNCTION("""COMPUTED_VALUE"""),"treatment")</f>
        <v>treatment</v>
      </c>
      <c r="D4822" s="1" t="str">
        <f>IFERROR(__xludf.DUMMYFUNCTION("""COMPUTED_VALUE"""),"new_page")</f>
        <v>new_page</v>
      </c>
      <c r="E4822" s="1">
        <f>IFERROR(__xludf.DUMMYFUNCTION("""COMPUTED_VALUE"""),0.0)</f>
        <v>0</v>
      </c>
    </row>
    <row r="4823">
      <c r="A4823" s="1">
        <f>IFERROR(__xludf.DUMMYFUNCTION("""COMPUTED_VALUE"""),858053.0)</f>
        <v>858053</v>
      </c>
      <c r="B4823" s="2">
        <f>IFERROR(__xludf.DUMMYFUNCTION("""COMPUTED_VALUE"""),42759.56360509623)</f>
        <v>42759.56361</v>
      </c>
      <c r="C4823" s="1" t="str">
        <f>IFERROR(__xludf.DUMMYFUNCTION("""COMPUTED_VALUE"""),"treatment")</f>
        <v>treatment</v>
      </c>
      <c r="D4823" s="1" t="str">
        <f>IFERROR(__xludf.DUMMYFUNCTION("""COMPUTED_VALUE"""),"new_page")</f>
        <v>new_page</v>
      </c>
      <c r="E4823" s="1">
        <f>IFERROR(__xludf.DUMMYFUNCTION("""COMPUTED_VALUE"""),0.0)</f>
        <v>0</v>
      </c>
    </row>
    <row r="4824">
      <c r="A4824" s="1">
        <f>IFERROR(__xludf.DUMMYFUNCTION("""COMPUTED_VALUE"""),687177.0)</f>
        <v>687177</v>
      </c>
      <c r="B4824" s="2">
        <f>IFERROR(__xludf.DUMMYFUNCTION("""COMPUTED_VALUE"""),42742.222609090095)</f>
        <v>42742.22261</v>
      </c>
      <c r="C4824" s="1" t="str">
        <f>IFERROR(__xludf.DUMMYFUNCTION("""COMPUTED_VALUE"""),"control")</f>
        <v>control</v>
      </c>
      <c r="D4824" s="1" t="str">
        <f>IFERROR(__xludf.DUMMYFUNCTION("""COMPUTED_VALUE"""),"old_page")</f>
        <v>old_page</v>
      </c>
      <c r="E4824" s="1">
        <f>IFERROR(__xludf.DUMMYFUNCTION("""COMPUTED_VALUE"""),0.0)</f>
        <v>0</v>
      </c>
    </row>
    <row r="4825">
      <c r="A4825" s="1">
        <f>IFERROR(__xludf.DUMMYFUNCTION("""COMPUTED_VALUE"""),807614.0)</f>
        <v>807614</v>
      </c>
      <c r="B4825" s="2">
        <f>IFERROR(__xludf.DUMMYFUNCTION("""COMPUTED_VALUE"""),42743.96476114403)</f>
        <v>42743.96476</v>
      </c>
      <c r="C4825" s="1" t="str">
        <f>IFERROR(__xludf.DUMMYFUNCTION("""COMPUTED_VALUE"""),"treatment")</f>
        <v>treatment</v>
      </c>
      <c r="D4825" s="1" t="str">
        <f>IFERROR(__xludf.DUMMYFUNCTION("""COMPUTED_VALUE"""),"new_page")</f>
        <v>new_page</v>
      </c>
      <c r="E4825" s="1">
        <f>IFERROR(__xludf.DUMMYFUNCTION("""COMPUTED_VALUE"""),0.0)</f>
        <v>0</v>
      </c>
    </row>
    <row r="4826">
      <c r="A4826" s="1">
        <f>IFERROR(__xludf.DUMMYFUNCTION("""COMPUTED_VALUE"""),801115.0)</f>
        <v>801115</v>
      </c>
      <c r="B4826" s="2">
        <f>IFERROR(__xludf.DUMMYFUNCTION("""COMPUTED_VALUE"""),42750.47776862146)</f>
        <v>42750.47777</v>
      </c>
      <c r="C4826" s="1" t="str">
        <f>IFERROR(__xludf.DUMMYFUNCTION("""COMPUTED_VALUE"""),"control")</f>
        <v>control</v>
      </c>
      <c r="D4826" s="1" t="str">
        <f>IFERROR(__xludf.DUMMYFUNCTION("""COMPUTED_VALUE"""),"old_page")</f>
        <v>old_page</v>
      </c>
      <c r="E4826" s="1">
        <f>IFERROR(__xludf.DUMMYFUNCTION("""COMPUTED_VALUE"""),0.0)</f>
        <v>0</v>
      </c>
    </row>
    <row r="4827">
      <c r="A4827" s="1">
        <f>IFERROR(__xludf.DUMMYFUNCTION("""COMPUTED_VALUE"""),637334.0)</f>
        <v>637334</v>
      </c>
      <c r="B4827" s="2">
        <f>IFERROR(__xludf.DUMMYFUNCTION("""COMPUTED_VALUE"""),42749.62897477382)</f>
        <v>42749.62897</v>
      </c>
      <c r="C4827" s="1" t="str">
        <f>IFERROR(__xludf.DUMMYFUNCTION("""COMPUTED_VALUE"""),"control")</f>
        <v>control</v>
      </c>
      <c r="D4827" s="1" t="str">
        <f>IFERROR(__xludf.DUMMYFUNCTION("""COMPUTED_VALUE"""),"old_page")</f>
        <v>old_page</v>
      </c>
      <c r="E4827" s="1">
        <f>IFERROR(__xludf.DUMMYFUNCTION("""COMPUTED_VALUE"""),0.0)</f>
        <v>0</v>
      </c>
    </row>
    <row r="4828">
      <c r="A4828" s="1">
        <f>IFERROR(__xludf.DUMMYFUNCTION("""COMPUTED_VALUE"""),941499.0)</f>
        <v>941499</v>
      </c>
      <c r="B4828" s="2">
        <f>IFERROR(__xludf.DUMMYFUNCTION("""COMPUTED_VALUE"""),42755.682588658856)</f>
        <v>42755.68259</v>
      </c>
      <c r="C4828" s="1" t="str">
        <f>IFERROR(__xludf.DUMMYFUNCTION("""COMPUTED_VALUE"""),"treatment")</f>
        <v>treatment</v>
      </c>
      <c r="D4828" s="1" t="str">
        <f>IFERROR(__xludf.DUMMYFUNCTION("""COMPUTED_VALUE"""),"new_page")</f>
        <v>new_page</v>
      </c>
      <c r="E4828" s="1">
        <f>IFERROR(__xludf.DUMMYFUNCTION("""COMPUTED_VALUE"""),0.0)</f>
        <v>0</v>
      </c>
    </row>
    <row r="4829">
      <c r="A4829" s="1">
        <f>IFERROR(__xludf.DUMMYFUNCTION("""COMPUTED_VALUE"""),893489.0)</f>
        <v>893489</v>
      </c>
      <c r="B4829" s="2">
        <f>IFERROR(__xludf.DUMMYFUNCTION("""COMPUTED_VALUE"""),42750.99643433563)</f>
        <v>42750.99643</v>
      </c>
      <c r="C4829" s="1" t="str">
        <f>IFERROR(__xludf.DUMMYFUNCTION("""COMPUTED_VALUE"""),"control")</f>
        <v>control</v>
      </c>
      <c r="D4829" s="1" t="str">
        <f>IFERROR(__xludf.DUMMYFUNCTION("""COMPUTED_VALUE"""),"old_page")</f>
        <v>old_page</v>
      </c>
      <c r="E4829" s="1">
        <f>IFERROR(__xludf.DUMMYFUNCTION("""COMPUTED_VALUE"""),0.0)</f>
        <v>0</v>
      </c>
    </row>
    <row r="4830">
      <c r="A4830" s="1">
        <f>IFERROR(__xludf.DUMMYFUNCTION("""COMPUTED_VALUE"""),921818.0)</f>
        <v>921818</v>
      </c>
      <c r="B4830" s="2">
        <f>IFERROR(__xludf.DUMMYFUNCTION("""COMPUTED_VALUE"""),42740.2952998647)</f>
        <v>42740.2953</v>
      </c>
      <c r="C4830" s="1" t="str">
        <f>IFERROR(__xludf.DUMMYFUNCTION("""COMPUTED_VALUE"""),"control")</f>
        <v>control</v>
      </c>
      <c r="D4830" s="1" t="str">
        <f>IFERROR(__xludf.DUMMYFUNCTION("""COMPUTED_VALUE"""),"old_page")</f>
        <v>old_page</v>
      </c>
      <c r="E4830" s="1">
        <f>IFERROR(__xludf.DUMMYFUNCTION("""COMPUTED_VALUE"""),0.0)</f>
        <v>0</v>
      </c>
    </row>
    <row r="4831">
      <c r="A4831" s="1">
        <f>IFERROR(__xludf.DUMMYFUNCTION("""COMPUTED_VALUE"""),741439.0)</f>
        <v>741439</v>
      </c>
      <c r="B4831" s="2">
        <f>IFERROR(__xludf.DUMMYFUNCTION("""COMPUTED_VALUE"""),42746.0846558636)</f>
        <v>42746.08466</v>
      </c>
      <c r="C4831" s="1" t="str">
        <f>IFERROR(__xludf.DUMMYFUNCTION("""COMPUTED_VALUE"""),"control")</f>
        <v>control</v>
      </c>
      <c r="D4831" s="1" t="str">
        <f>IFERROR(__xludf.DUMMYFUNCTION("""COMPUTED_VALUE"""),"old_page")</f>
        <v>old_page</v>
      </c>
      <c r="E4831" s="1">
        <f>IFERROR(__xludf.DUMMYFUNCTION("""COMPUTED_VALUE"""),0.0)</f>
        <v>0</v>
      </c>
    </row>
    <row r="4832">
      <c r="A4832" s="1">
        <f>IFERROR(__xludf.DUMMYFUNCTION("""COMPUTED_VALUE"""),657876.0)</f>
        <v>657876</v>
      </c>
      <c r="B4832" s="2">
        <f>IFERROR(__xludf.DUMMYFUNCTION("""COMPUTED_VALUE"""),42749.68790447888)</f>
        <v>42749.6879</v>
      </c>
      <c r="C4832" s="1" t="str">
        <f>IFERROR(__xludf.DUMMYFUNCTION("""COMPUTED_VALUE"""),"control")</f>
        <v>control</v>
      </c>
      <c r="D4832" s="1" t="str">
        <f>IFERROR(__xludf.DUMMYFUNCTION("""COMPUTED_VALUE"""),"old_page")</f>
        <v>old_page</v>
      </c>
      <c r="E4832" s="1">
        <f>IFERROR(__xludf.DUMMYFUNCTION("""COMPUTED_VALUE"""),1.0)</f>
        <v>1</v>
      </c>
    </row>
    <row r="4833">
      <c r="A4833" s="1">
        <f>IFERROR(__xludf.DUMMYFUNCTION("""COMPUTED_VALUE"""),887647.0)</f>
        <v>887647</v>
      </c>
      <c r="B4833" s="2">
        <f>IFERROR(__xludf.DUMMYFUNCTION("""COMPUTED_VALUE"""),42755.32017024683)</f>
        <v>42755.32017</v>
      </c>
      <c r="C4833" s="1" t="str">
        <f>IFERROR(__xludf.DUMMYFUNCTION("""COMPUTED_VALUE"""),"control")</f>
        <v>control</v>
      </c>
      <c r="D4833" s="1" t="str">
        <f>IFERROR(__xludf.DUMMYFUNCTION("""COMPUTED_VALUE"""),"old_page")</f>
        <v>old_page</v>
      </c>
      <c r="E4833" s="1">
        <f>IFERROR(__xludf.DUMMYFUNCTION("""COMPUTED_VALUE"""),1.0)</f>
        <v>1</v>
      </c>
    </row>
    <row r="4834">
      <c r="A4834" s="1">
        <f>IFERROR(__xludf.DUMMYFUNCTION("""COMPUTED_VALUE"""),738262.0)</f>
        <v>738262</v>
      </c>
      <c r="B4834" s="2">
        <f>IFERROR(__xludf.DUMMYFUNCTION("""COMPUTED_VALUE"""),42740.65090509456)</f>
        <v>42740.65091</v>
      </c>
      <c r="C4834" s="1" t="str">
        <f>IFERROR(__xludf.DUMMYFUNCTION("""COMPUTED_VALUE"""),"treatment")</f>
        <v>treatment</v>
      </c>
      <c r="D4834" s="1" t="str">
        <f>IFERROR(__xludf.DUMMYFUNCTION("""COMPUTED_VALUE"""),"new_page")</f>
        <v>new_page</v>
      </c>
      <c r="E4834" s="1">
        <f>IFERROR(__xludf.DUMMYFUNCTION("""COMPUTED_VALUE"""),0.0)</f>
        <v>0</v>
      </c>
    </row>
    <row r="4835">
      <c r="A4835" s="1">
        <f>IFERROR(__xludf.DUMMYFUNCTION("""COMPUTED_VALUE"""),928628.0)</f>
        <v>928628</v>
      </c>
      <c r="B4835" s="2">
        <f>IFERROR(__xludf.DUMMYFUNCTION("""COMPUTED_VALUE"""),42752.867570175906)</f>
        <v>42752.86757</v>
      </c>
      <c r="C4835" s="1" t="str">
        <f>IFERROR(__xludf.DUMMYFUNCTION("""COMPUTED_VALUE"""),"treatment")</f>
        <v>treatment</v>
      </c>
      <c r="D4835" s="1" t="str">
        <f>IFERROR(__xludf.DUMMYFUNCTION("""COMPUTED_VALUE"""),"new_page")</f>
        <v>new_page</v>
      </c>
      <c r="E4835" s="1">
        <f>IFERROR(__xludf.DUMMYFUNCTION("""COMPUTED_VALUE"""),0.0)</f>
        <v>0</v>
      </c>
    </row>
    <row r="4836">
      <c r="A4836" s="1">
        <f>IFERROR(__xludf.DUMMYFUNCTION("""COMPUTED_VALUE"""),807974.0)</f>
        <v>807974</v>
      </c>
      <c r="B4836" s="2">
        <f>IFERROR(__xludf.DUMMYFUNCTION("""COMPUTED_VALUE"""),42753.546741298764)</f>
        <v>42753.54674</v>
      </c>
      <c r="C4836" s="1" t="str">
        <f>IFERROR(__xludf.DUMMYFUNCTION("""COMPUTED_VALUE"""),"treatment")</f>
        <v>treatment</v>
      </c>
      <c r="D4836" s="1" t="str">
        <f>IFERROR(__xludf.DUMMYFUNCTION("""COMPUTED_VALUE"""),"new_page")</f>
        <v>new_page</v>
      </c>
      <c r="E4836" s="1">
        <f>IFERROR(__xludf.DUMMYFUNCTION("""COMPUTED_VALUE"""),0.0)</f>
        <v>0</v>
      </c>
    </row>
    <row r="4837">
      <c r="A4837" s="1">
        <f>IFERROR(__xludf.DUMMYFUNCTION("""COMPUTED_VALUE"""),681095.0)</f>
        <v>681095</v>
      </c>
      <c r="B4837" s="2">
        <f>IFERROR(__xludf.DUMMYFUNCTION("""COMPUTED_VALUE"""),42755.00975205861)</f>
        <v>42755.00975</v>
      </c>
      <c r="C4837" s="1" t="str">
        <f>IFERROR(__xludf.DUMMYFUNCTION("""COMPUTED_VALUE"""),"control")</f>
        <v>control</v>
      </c>
      <c r="D4837" s="1" t="str">
        <f>IFERROR(__xludf.DUMMYFUNCTION("""COMPUTED_VALUE"""),"old_page")</f>
        <v>old_page</v>
      </c>
      <c r="E4837" s="1">
        <f>IFERROR(__xludf.DUMMYFUNCTION("""COMPUTED_VALUE"""),1.0)</f>
        <v>1</v>
      </c>
    </row>
    <row r="4838">
      <c r="A4838" s="1">
        <f>IFERROR(__xludf.DUMMYFUNCTION("""COMPUTED_VALUE"""),845524.0)</f>
        <v>845524</v>
      </c>
      <c r="B4838" s="2">
        <f>IFERROR(__xludf.DUMMYFUNCTION("""COMPUTED_VALUE"""),42753.521009584074)</f>
        <v>42753.52101</v>
      </c>
      <c r="C4838" s="1" t="str">
        <f>IFERROR(__xludf.DUMMYFUNCTION("""COMPUTED_VALUE"""),"treatment")</f>
        <v>treatment</v>
      </c>
      <c r="D4838" s="1" t="str">
        <f>IFERROR(__xludf.DUMMYFUNCTION("""COMPUTED_VALUE"""),"new_page")</f>
        <v>new_page</v>
      </c>
      <c r="E4838" s="1">
        <f>IFERROR(__xludf.DUMMYFUNCTION("""COMPUTED_VALUE"""),0.0)</f>
        <v>0</v>
      </c>
    </row>
    <row r="4839">
      <c r="A4839" s="1">
        <f>IFERROR(__xludf.DUMMYFUNCTION("""COMPUTED_VALUE"""),814039.0)</f>
        <v>814039</v>
      </c>
      <c r="B4839" s="2">
        <f>IFERROR(__xludf.DUMMYFUNCTION("""COMPUTED_VALUE"""),42752.39089898881)</f>
        <v>42752.3909</v>
      </c>
      <c r="C4839" s="1" t="str">
        <f>IFERROR(__xludf.DUMMYFUNCTION("""COMPUTED_VALUE"""),"treatment")</f>
        <v>treatment</v>
      </c>
      <c r="D4839" s="1" t="str">
        <f>IFERROR(__xludf.DUMMYFUNCTION("""COMPUTED_VALUE"""),"new_page")</f>
        <v>new_page</v>
      </c>
      <c r="E4839" s="1">
        <f>IFERROR(__xludf.DUMMYFUNCTION("""COMPUTED_VALUE"""),0.0)</f>
        <v>0</v>
      </c>
    </row>
    <row r="4840">
      <c r="A4840" s="1">
        <f>IFERROR(__xludf.DUMMYFUNCTION("""COMPUTED_VALUE"""),678992.0)</f>
        <v>678992</v>
      </c>
      <c r="B4840" s="2">
        <f>IFERROR(__xludf.DUMMYFUNCTION("""COMPUTED_VALUE"""),42742.58629494396)</f>
        <v>42742.58629</v>
      </c>
      <c r="C4840" s="1" t="str">
        <f>IFERROR(__xludf.DUMMYFUNCTION("""COMPUTED_VALUE"""),"treatment")</f>
        <v>treatment</v>
      </c>
      <c r="D4840" s="1" t="str">
        <f>IFERROR(__xludf.DUMMYFUNCTION("""COMPUTED_VALUE"""),"new_page")</f>
        <v>new_page</v>
      </c>
      <c r="E4840" s="1">
        <f>IFERROR(__xludf.DUMMYFUNCTION("""COMPUTED_VALUE"""),0.0)</f>
        <v>0</v>
      </c>
    </row>
    <row r="4841">
      <c r="A4841" s="1">
        <f>IFERROR(__xludf.DUMMYFUNCTION("""COMPUTED_VALUE"""),642450.0)</f>
        <v>642450</v>
      </c>
      <c r="B4841" s="2">
        <f>IFERROR(__xludf.DUMMYFUNCTION("""COMPUTED_VALUE"""),42747.892555413266)</f>
        <v>42747.89256</v>
      </c>
      <c r="C4841" s="1" t="str">
        <f>IFERROR(__xludf.DUMMYFUNCTION("""COMPUTED_VALUE"""),"control")</f>
        <v>control</v>
      </c>
      <c r="D4841" s="1" t="str">
        <f>IFERROR(__xludf.DUMMYFUNCTION("""COMPUTED_VALUE"""),"old_page")</f>
        <v>old_page</v>
      </c>
      <c r="E4841" s="1">
        <f>IFERROR(__xludf.DUMMYFUNCTION("""COMPUTED_VALUE"""),0.0)</f>
        <v>0</v>
      </c>
    </row>
    <row r="4842">
      <c r="A4842" s="1">
        <f>IFERROR(__xludf.DUMMYFUNCTION("""COMPUTED_VALUE"""),656393.0)</f>
        <v>656393</v>
      </c>
      <c r="B4842" s="2">
        <f>IFERROR(__xludf.DUMMYFUNCTION("""COMPUTED_VALUE"""),42746.78592573776)</f>
        <v>42746.78593</v>
      </c>
      <c r="C4842" s="1" t="str">
        <f>IFERROR(__xludf.DUMMYFUNCTION("""COMPUTED_VALUE"""),"control")</f>
        <v>control</v>
      </c>
      <c r="D4842" s="1" t="str">
        <f>IFERROR(__xludf.DUMMYFUNCTION("""COMPUTED_VALUE"""),"old_page")</f>
        <v>old_page</v>
      </c>
      <c r="E4842" s="1">
        <f>IFERROR(__xludf.DUMMYFUNCTION("""COMPUTED_VALUE"""),0.0)</f>
        <v>0</v>
      </c>
    </row>
    <row r="4843">
      <c r="A4843" s="1">
        <f>IFERROR(__xludf.DUMMYFUNCTION("""COMPUTED_VALUE"""),761119.0)</f>
        <v>761119</v>
      </c>
      <c r="B4843" s="2">
        <f>IFERROR(__xludf.DUMMYFUNCTION("""COMPUTED_VALUE"""),42740.80072627256)</f>
        <v>42740.80073</v>
      </c>
      <c r="C4843" s="1" t="str">
        <f>IFERROR(__xludf.DUMMYFUNCTION("""COMPUTED_VALUE"""),"treatment")</f>
        <v>treatment</v>
      </c>
      <c r="D4843" s="1" t="str">
        <f>IFERROR(__xludf.DUMMYFUNCTION("""COMPUTED_VALUE"""),"new_page")</f>
        <v>new_page</v>
      </c>
      <c r="E4843" s="1">
        <f>IFERROR(__xludf.DUMMYFUNCTION("""COMPUTED_VALUE"""),0.0)</f>
        <v>0</v>
      </c>
    </row>
    <row r="4844">
      <c r="A4844" s="1">
        <f>IFERROR(__xludf.DUMMYFUNCTION("""COMPUTED_VALUE"""),651507.0)</f>
        <v>651507</v>
      </c>
      <c r="B4844" s="2">
        <f>IFERROR(__xludf.DUMMYFUNCTION("""COMPUTED_VALUE"""),42745.56501796559)</f>
        <v>42745.56502</v>
      </c>
      <c r="C4844" s="1" t="str">
        <f>IFERROR(__xludf.DUMMYFUNCTION("""COMPUTED_VALUE"""),"treatment")</f>
        <v>treatment</v>
      </c>
      <c r="D4844" s="1" t="str">
        <f>IFERROR(__xludf.DUMMYFUNCTION("""COMPUTED_VALUE"""),"new_page")</f>
        <v>new_page</v>
      </c>
      <c r="E4844" s="1">
        <f>IFERROR(__xludf.DUMMYFUNCTION("""COMPUTED_VALUE"""),0.0)</f>
        <v>0</v>
      </c>
    </row>
    <row r="4845">
      <c r="A4845" s="1">
        <f>IFERROR(__xludf.DUMMYFUNCTION("""COMPUTED_VALUE"""),680413.0)</f>
        <v>680413</v>
      </c>
      <c r="B4845" s="2">
        <f>IFERROR(__xludf.DUMMYFUNCTION("""COMPUTED_VALUE"""),42755.756700099504)</f>
        <v>42755.7567</v>
      </c>
      <c r="C4845" s="1" t="str">
        <f>IFERROR(__xludf.DUMMYFUNCTION("""COMPUTED_VALUE"""),"control")</f>
        <v>control</v>
      </c>
      <c r="D4845" s="1" t="str">
        <f>IFERROR(__xludf.DUMMYFUNCTION("""COMPUTED_VALUE"""),"old_page")</f>
        <v>old_page</v>
      </c>
      <c r="E4845" s="1">
        <f>IFERROR(__xludf.DUMMYFUNCTION("""COMPUTED_VALUE"""),0.0)</f>
        <v>0</v>
      </c>
    </row>
    <row r="4846">
      <c r="A4846" s="1">
        <f>IFERROR(__xludf.DUMMYFUNCTION("""COMPUTED_VALUE"""),656813.0)</f>
        <v>656813</v>
      </c>
      <c r="B4846" s="2">
        <f>IFERROR(__xludf.DUMMYFUNCTION("""COMPUTED_VALUE"""),42759.37016928735)</f>
        <v>42759.37017</v>
      </c>
      <c r="C4846" s="1" t="str">
        <f>IFERROR(__xludf.DUMMYFUNCTION("""COMPUTED_VALUE"""),"control")</f>
        <v>control</v>
      </c>
      <c r="D4846" s="1" t="str">
        <f>IFERROR(__xludf.DUMMYFUNCTION("""COMPUTED_VALUE"""),"old_page")</f>
        <v>old_page</v>
      </c>
      <c r="E4846" s="1">
        <f>IFERROR(__xludf.DUMMYFUNCTION("""COMPUTED_VALUE"""),0.0)</f>
        <v>0</v>
      </c>
    </row>
    <row r="4847">
      <c r="A4847" s="1">
        <f>IFERROR(__xludf.DUMMYFUNCTION("""COMPUTED_VALUE"""),688594.0)</f>
        <v>688594</v>
      </c>
      <c r="B4847" s="2">
        <f>IFERROR(__xludf.DUMMYFUNCTION("""COMPUTED_VALUE"""),42754.88662536662)</f>
        <v>42754.88663</v>
      </c>
      <c r="C4847" s="1" t="str">
        <f>IFERROR(__xludf.DUMMYFUNCTION("""COMPUTED_VALUE"""),"treatment")</f>
        <v>treatment</v>
      </c>
      <c r="D4847" s="1" t="str">
        <f>IFERROR(__xludf.DUMMYFUNCTION("""COMPUTED_VALUE"""),"new_page")</f>
        <v>new_page</v>
      </c>
      <c r="E4847" s="1">
        <f>IFERROR(__xludf.DUMMYFUNCTION("""COMPUTED_VALUE"""),0.0)</f>
        <v>0</v>
      </c>
    </row>
    <row r="4848">
      <c r="A4848" s="1">
        <f>IFERROR(__xludf.DUMMYFUNCTION("""COMPUTED_VALUE"""),705604.0)</f>
        <v>705604</v>
      </c>
      <c r="B4848" s="2">
        <f>IFERROR(__xludf.DUMMYFUNCTION("""COMPUTED_VALUE"""),42757.257895454066)</f>
        <v>42757.2579</v>
      </c>
      <c r="C4848" s="1" t="str">
        <f>IFERROR(__xludf.DUMMYFUNCTION("""COMPUTED_VALUE"""),"control")</f>
        <v>control</v>
      </c>
      <c r="D4848" s="1" t="str">
        <f>IFERROR(__xludf.DUMMYFUNCTION("""COMPUTED_VALUE"""),"old_page")</f>
        <v>old_page</v>
      </c>
      <c r="E4848" s="1">
        <f>IFERROR(__xludf.DUMMYFUNCTION("""COMPUTED_VALUE"""),0.0)</f>
        <v>0</v>
      </c>
    </row>
    <row r="4849">
      <c r="A4849" s="1">
        <f>IFERROR(__xludf.DUMMYFUNCTION("""COMPUTED_VALUE"""),670666.0)</f>
        <v>670666</v>
      </c>
      <c r="B4849" s="2">
        <f>IFERROR(__xludf.DUMMYFUNCTION("""COMPUTED_VALUE"""),42739.861697221386)</f>
        <v>42739.8617</v>
      </c>
      <c r="C4849" s="1" t="str">
        <f>IFERROR(__xludf.DUMMYFUNCTION("""COMPUTED_VALUE"""),"treatment")</f>
        <v>treatment</v>
      </c>
      <c r="D4849" s="1" t="str">
        <f>IFERROR(__xludf.DUMMYFUNCTION("""COMPUTED_VALUE"""),"new_page")</f>
        <v>new_page</v>
      </c>
      <c r="E4849" s="1">
        <f>IFERROR(__xludf.DUMMYFUNCTION("""COMPUTED_VALUE"""),0.0)</f>
        <v>0</v>
      </c>
    </row>
    <row r="4850">
      <c r="A4850" s="1">
        <f>IFERROR(__xludf.DUMMYFUNCTION("""COMPUTED_VALUE"""),909632.0)</f>
        <v>909632</v>
      </c>
      <c r="B4850" s="2">
        <f>IFERROR(__xludf.DUMMYFUNCTION("""COMPUTED_VALUE"""),42738.54591746345)</f>
        <v>42738.54592</v>
      </c>
      <c r="C4850" s="1" t="str">
        <f>IFERROR(__xludf.DUMMYFUNCTION("""COMPUTED_VALUE"""),"treatment")</f>
        <v>treatment</v>
      </c>
      <c r="D4850" s="1" t="str">
        <f>IFERROR(__xludf.DUMMYFUNCTION("""COMPUTED_VALUE"""),"new_page")</f>
        <v>new_page</v>
      </c>
      <c r="E4850" s="1">
        <f>IFERROR(__xludf.DUMMYFUNCTION("""COMPUTED_VALUE"""),0.0)</f>
        <v>0</v>
      </c>
    </row>
    <row r="4851">
      <c r="A4851" s="1">
        <f>IFERROR(__xludf.DUMMYFUNCTION("""COMPUTED_VALUE"""),922350.0)</f>
        <v>922350</v>
      </c>
      <c r="B4851" s="2">
        <f>IFERROR(__xludf.DUMMYFUNCTION("""COMPUTED_VALUE"""),42753.76153237214)</f>
        <v>42753.76153</v>
      </c>
      <c r="C4851" s="1" t="str">
        <f>IFERROR(__xludf.DUMMYFUNCTION("""COMPUTED_VALUE"""),"treatment")</f>
        <v>treatment</v>
      </c>
      <c r="D4851" s="1" t="str">
        <f>IFERROR(__xludf.DUMMYFUNCTION("""COMPUTED_VALUE"""),"new_page")</f>
        <v>new_page</v>
      </c>
      <c r="E4851" s="1">
        <f>IFERROR(__xludf.DUMMYFUNCTION("""COMPUTED_VALUE"""),0.0)</f>
        <v>0</v>
      </c>
    </row>
    <row r="4852">
      <c r="A4852" s="1">
        <f>IFERROR(__xludf.DUMMYFUNCTION("""COMPUTED_VALUE"""),931698.0)</f>
        <v>931698</v>
      </c>
      <c r="B4852" s="2">
        <f>IFERROR(__xludf.DUMMYFUNCTION("""COMPUTED_VALUE"""),42755.637717056205)</f>
        <v>42755.63772</v>
      </c>
      <c r="C4852" s="1" t="str">
        <f>IFERROR(__xludf.DUMMYFUNCTION("""COMPUTED_VALUE"""),"control")</f>
        <v>control</v>
      </c>
      <c r="D4852" s="1" t="str">
        <f>IFERROR(__xludf.DUMMYFUNCTION("""COMPUTED_VALUE"""),"old_page")</f>
        <v>old_page</v>
      </c>
      <c r="E4852" s="1">
        <f>IFERROR(__xludf.DUMMYFUNCTION("""COMPUTED_VALUE"""),0.0)</f>
        <v>0</v>
      </c>
    </row>
    <row r="4853">
      <c r="A4853" s="1">
        <f>IFERROR(__xludf.DUMMYFUNCTION("""COMPUTED_VALUE"""),927551.0)</f>
        <v>927551</v>
      </c>
      <c r="B4853" s="2">
        <f>IFERROR(__xludf.DUMMYFUNCTION("""COMPUTED_VALUE"""),42753.08938048979)</f>
        <v>42753.08938</v>
      </c>
      <c r="C4853" s="1" t="str">
        <f>IFERROR(__xludf.DUMMYFUNCTION("""COMPUTED_VALUE"""),"control")</f>
        <v>control</v>
      </c>
      <c r="D4853" s="1" t="str">
        <f>IFERROR(__xludf.DUMMYFUNCTION("""COMPUTED_VALUE"""),"old_page")</f>
        <v>old_page</v>
      </c>
      <c r="E4853" s="1">
        <f>IFERROR(__xludf.DUMMYFUNCTION("""COMPUTED_VALUE"""),0.0)</f>
        <v>0</v>
      </c>
    </row>
    <row r="4854">
      <c r="A4854" s="1">
        <f>IFERROR(__xludf.DUMMYFUNCTION("""COMPUTED_VALUE"""),729404.0)</f>
        <v>729404</v>
      </c>
      <c r="B4854" s="2">
        <f>IFERROR(__xludf.DUMMYFUNCTION("""COMPUTED_VALUE"""),42750.18572932747)</f>
        <v>42750.18573</v>
      </c>
      <c r="C4854" s="1" t="str">
        <f>IFERROR(__xludf.DUMMYFUNCTION("""COMPUTED_VALUE"""),"treatment")</f>
        <v>treatment</v>
      </c>
      <c r="D4854" s="1" t="str">
        <f>IFERROR(__xludf.DUMMYFUNCTION("""COMPUTED_VALUE"""),"new_page")</f>
        <v>new_page</v>
      </c>
      <c r="E4854" s="1">
        <f>IFERROR(__xludf.DUMMYFUNCTION("""COMPUTED_VALUE"""),0.0)</f>
        <v>0</v>
      </c>
    </row>
    <row r="4855">
      <c r="A4855" s="1">
        <f>IFERROR(__xludf.DUMMYFUNCTION("""COMPUTED_VALUE"""),793758.0)</f>
        <v>793758</v>
      </c>
      <c r="B4855" s="2">
        <f>IFERROR(__xludf.DUMMYFUNCTION("""COMPUTED_VALUE"""),42750.82057858096)</f>
        <v>42750.82058</v>
      </c>
      <c r="C4855" s="1" t="str">
        <f>IFERROR(__xludf.DUMMYFUNCTION("""COMPUTED_VALUE"""),"control")</f>
        <v>control</v>
      </c>
      <c r="D4855" s="1" t="str">
        <f>IFERROR(__xludf.DUMMYFUNCTION("""COMPUTED_VALUE"""),"old_page")</f>
        <v>old_page</v>
      </c>
      <c r="E4855" s="1">
        <f>IFERROR(__xludf.DUMMYFUNCTION("""COMPUTED_VALUE"""),1.0)</f>
        <v>1</v>
      </c>
    </row>
    <row r="4856">
      <c r="A4856" s="1">
        <f>IFERROR(__xludf.DUMMYFUNCTION("""COMPUTED_VALUE"""),892244.0)</f>
        <v>892244</v>
      </c>
      <c r="B4856" s="2">
        <f>IFERROR(__xludf.DUMMYFUNCTION("""COMPUTED_VALUE"""),42745.83348426443)</f>
        <v>42745.83348</v>
      </c>
      <c r="C4856" s="1" t="str">
        <f>IFERROR(__xludf.DUMMYFUNCTION("""COMPUTED_VALUE"""),"treatment")</f>
        <v>treatment</v>
      </c>
      <c r="D4856" s="1" t="str">
        <f>IFERROR(__xludf.DUMMYFUNCTION("""COMPUTED_VALUE"""),"new_page")</f>
        <v>new_page</v>
      </c>
      <c r="E4856" s="1">
        <f>IFERROR(__xludf.DUMMYFUNCTION("""COMPUTED_VALUE"""),0.0)</f>
        <v>0</v>
      </c>
    </row>
    <row r="4857">
      <c r="A4857" s="1">
        <f>IFERROR(__xludf.DUMMYFUNCTION("""COMPUTED_VALUE"""),728470.0)</f>
        <v>728470</v>
      </c>
      <c r="B4857" s="2">
        <f>IFERROR(__xludf.DUMMYFUNCTION("""COMPUTED_VALUE"""),42748.720512253516)</f>
        <v>42748.72051</v>
      </c>
      <c r="C4857" s="1" t="str">
        <f>IFERROR(__xludf.DUMMYFUNCTION("""COMPUTED_VALUE"""),"treatment")</f>
        <v>treatment</v>
      </c>
      <c r="D4857" s="1" t="str">
        <f>IFERROR(__xludf.DUMMYFUNCTION("""COMPUTED_VALUE"""),"new_page")</f>
        <v>new_page</v>
      </c>
      <c r="E4857" s="1">
        <f>IFERROR(__xludf.DUMMYFUNCTION("""COMPUTED_VALUE"""),0.0)</f>
        <v>0</v>
      </c>
    </row>
    <row r="4858">
      <c r="A4858" s="1">
        <f>IFERROR(__xludf.DUMMYFUNCTION("""COMPUTED_VALUE"""),733061.0)</f>
        <v>733061</v>
      </c>
      <c r="B4858" s="2">
        <f>IFERROR(__xludf.DUMMYFUNCTION("""COMPUTED_VALUE"""),42739.02341789044)</f>
        <v>42739.02342</v>
      </c>
      <c r="C4858" s="1" t="str">
        <f>IFERROR(__xludf.DUMMYFUNCTION("""COMPUTED_VALUE"""),"control")</f>
        <v>control</v>
      </c>
      <c r="D4858" s="1" t="str">
        <f>IFERROR(__xludf.DUMMYFUNCTION("""COMPUTED_VALUE"""),"old_page")</f>
        <v>old_page</v>
      </c>
      <c r="E4858" s="1">
        <f>IFERROR(__xludf.DUMMYFUNCTION("""COMPUTED_VALUE"""),0.0)</f>
        <v>0</v>
      </c>
    </row>
    <row r="4859">
      <c r="A4859" s="1">
        <f>IFERROR(__xludf.DUMMYFUNCTION("""COMPUTED_VALUE"""),633167.0)</f>
        <v>633167</v>
      </c>
      <c r="B4859" s="2">
        <f>IFERROR(__xludf.DUMMYFUNCTION("""COMPUTED_VALUE"""),42754.90209676304)</f>
        <v>42754.9021</v>
      </c>
      <c r="C4859" s="1" t="str">
        <f>IFERROR(__xludf.DUMMYFUNCTION("""COMPUTED_VALUE"""),"treatment")</f>
        <v>treatment</v>
      </c>
      <c r="D4859" s="1" t="str">
        <f>IFERROR(__xludf.DUMMYFUNCTION("""COMPUTED_VALUE"""),"new_page")</f>
        <v>new_page</v>
      </c>
      <c r="E4859" s="1">
        <f>IFERROR(__xludf.DUMMYFUNCTION("""COMPUTED_VALUE"""),0.0)</f>
        <v>0</v>
      </c>
    </row>
    <row r="4860">
      <c r="A4860" s="1">
        <f>IFERROR(__xludf.DUMMYFUNCTION("""COMPUTED_VALUE"""),916972.0)</f>
        <v>916972</v>
      </c>
      <c r="B4860" s="2">
        <f>IFERROR(__xludf.DUMMYFUNCTION("""COMPUTED_VALUE"""),42745.23535296684)</f>
        <v>42745.23535</v>
      </c>
      <c r="C4860" s="1" t="str">
        <f>IFERROR(__xludf.DUMMYFUNCTION("""COMPUTED_VALUE"""),"treatment")</f>
        <v>treatment</v>
      </c>
      <c r="D4860" s="1" t="str">
        <f>IFERROR(__xludf.DUMMYFUNCTION("""COMPUTED_VALUE"""),"new_page")</f>
        <v>new_page</v>
      </c>
      <c r="E4860" s="1">
        <f>IFERROR(__xludf.DUMMYFUNCTION("""COMPUTED_VALUE"""),1.0)</f>
        <v>1</v>
      </c>
    </row>
    <row r="4861">
      <c r="A4861" s="1">
        <f>IFERROR(__xludf.DUMMYFUNCTION("""COMPUTED_VALUE"""),703221.0)</f>
        <v>703221</v>
      </c>
      <c r="B4861" s="2">
        <f>IFERROR(__xludf.DUMMYFUNCTION("""COMPUTED_VALUE"""),42745.991842466276)</f>
        <v>42745.99184</v>
      </c>
      <c r="C4861" s="1" t="str">
        <f>IFERROR(__xludf.DUMMYFUNCTION("""COMPUTED_VALUE"""),"treatment")</f>
        <v>treatment</v>
      </c>
      <c r="D4861" s="1" t="str">
        <f>IFERROR(__xludf.DUMMYFUNCTION("""COMPUTED_VALUE"""),"new_page")</f>
        <v>new_page</v>
      </c>
      <c r="E4861" s="1">
        <f>IFERROR(__xludf.DUMMYFUNCTION("""COMPUTED_VALUE"""),0.0)</f>
        <v>0</v>
      </c>
    </row>
    <row r="4862">
      <c r="A4862" s="1">
        <f>IFERROR(__xludf.DUMMYFUNCTION("""COMPUTED_VALUE"""),779972.0)</f>
        <v>779972</v>
      </c>
      <c r="B4862" s="2">
        <f>IFERROR(__xludf.DUMMYFUNCTION("""COMPUTED_VALUE"""),42751.46870511756)</f>
        <v>42751.46871</v>
      </c>
      <c r="C4862" s="1" t="str">
        <f>IFERROR(__xludf.DUMMYFUNCTION("""COMPUTED_VALUE"""),"control")</f>
        <v>control</v>
      </c>
      <c r="D4862" s="1" t="str">
        <f>IFERROR(__xludf.DUMMYFUNCTION("""COMPUTED_VALUE"""),"old_page")</f>
        <v>old_page</v>
      </c>
      <c r="E4862" s="1">
        <f>IFERROR(__xludf.DUMMYFUNCTION("""COMPUTED_VALUE"""),0.0)</f>
        <v>0</v>
      </c>
    </row>
    <row r="4863">
      <c r="A4863" s="1">
        <f>IFERROR(__xludf.DUMMYFUNCTION("""COMPUTED_VALUE"""),844539.0)</f>
        <v>844539</v>
      </c>
      <c r="B4863" s="2">
        <f>IFERROR(__xludf.DUMMYFUNCTION("""COMPUTED_VALUE"""),42758.474812797074)</f>
        <v>42758.47481</v>
      </c>
      <c r="C4863" s="1" t="str">
        <f>IFERROR(__xludf.DUMMYFUNCTION("""COMPUTED_VALUE"""),"treatment")</f>
        <v>treatment</v>
      </c>
      <c r="D4863" s="1" t="str">
        <f>IFERROR(__xludf.DUMMYFUNCTION("""COMPUTED_VALUE"""),"new_page")</f>
        <v>new_page</v>
      </c>
      <c r="E4863" s="1">
        <f>IFERROR(__xludf.DUMMYFUNCTION("""COMPUTED_VALUE"""),1.0)</f>
        <v>1</v>
      </c>
    </row>
    <row r="4864">
      <c r="A4864" s="1">
        <f>IFERROR(__xludf.DUMMYFUNCTION("""COMPUTED_VALUE"""),813566.0)</f>
        <v>813566</v>
      </c>
      <c r="B4864" s="2">
        <f>IFERROR(__xludf.DUMMYFUNCTION("""COMPUTED_VALUE"""),42752.21185501087)</f>
        <v>42752.21186</v>
      </c>
      <c r="C4864" s="1" t="str">
        <f>IFERROR(__xludf.DUMMYFUNCTION("""COMPUTED_VALUE"""),"treatment")</f>
        <v>treatment</v>
      </c>
      <c r="D4864" s="1" t="str">
        <f>IFERROR(__xludf.DUMMYFUNCTION("""COMPUTED_VALUE"""),"new_page")</f>
        <v>new_page</v>
      </c>
      <c r="E4864" s="1">
        <f>IFERROR(__xludf.DUMMYFUNCTION("""COMPUTED_VALUE"""),0.0)</f>
        <v>0</v>
      </c>
    </row>
    <row r="4865">
      <c r="A4865" s="1">
        <f>IFERROR(__xludf.DUMMYFUNCTION("""COMPUTED_VALUE"""),705959.0)</f>
        <v>705959</v>
      </c>
      <c r="B4865" s="2">
        <f>IFERROR(__xludf.DUMMYFUNCTION("""COMPUTED_VALUE"""),42745.72117011831)</f>
        <v>42745.72117</v>
      </c>
      <c r="C4865" s="1" t="str">
        <f>IFERROR(__xludf.DUMMYFUNCTION("""COMPUTED_VALUE"""),"control")</f>
        <v>control</v>
      </c>
      <c r="D4865" s="1" t="str">
        <f>IFERROR(__xludf.DUMMYFUNCTION("""COMPUTED_VALUE"""),"old_page")</f>
        <v>old_page</v>
      </c>
      <c r="E4865" s="1">
        <f>IFERROR(__xludf.DUMMYFUNCTION("""COMPUTED_VALUE"""),0.0)</f>
        <v>0</v>
      </c>
    </row>
    <row r="4866">
      <c r="A4866" s="1">
        <f>IFERROR(__xludf.DUMMYFUNCTION("""COMPUTED_VALUE"""),766603.0)</f>
        <v>766603</v>
      </c>
      <c r="B4866" s="2">
        <f>IFERROR(__xludf.DUMMYFUNCTION("""COMPUTED_VALUE"""),42752.898560204536)</f>
        <v>42752.89856</v>
      </c>
      <c r="C4866" s="1" t="str">
        <f>IFERROR(__xludf.DUMMYFUNCTION("""COMPUTED_VALUE"""),"control")</f>
        <v>control</v>
      </c>
      <c r="D4866" s="1" t="str">
        <f>IFERROR(__xludf.DUMMYFUNCTION("""COMPUTED_VALUE"""),"old_page")</f>
        <v>old_page</v>
      </c>
      <c r="E4866" s="1">
        <f>IFERROR(__xludf.DUMMYFUNCTION("""COMPUTED_VALUE"""),0.0)</f>
        <v>0</v>
      </c>
    </row>
    <row r="4867">
      <c r="A4867" s="1">
        <f>IFERROR(__xludf.DUMMYFUNCTION("""COMPUTED_VALUE"""),788055.0)</f>
        <v>788055</v>
      </c>
      <c r="B4867" s="2">
        <f>IFERROR(__xludf.DUMMYFUNCTION("""COMPUTED_VALUE"""),42748.33133862159)</f>
        <v>42748.33134</v>
      </c>
      <c r="C4867" s="1" t="str">
        <f>IFERROR(__xludf.DUMMYFUNCTION("""COMPUTED_VALUE"""),"treatment")</f>
        <v>treatment</v>
      </c>
      <c r="D4867" s="1" t="str">
        <f>IFERROR(__xludf.DUMMYFUNCTION("""COMPUTED_VALUE"""),"new_page")</f>
        <v>new_page</v>
      </c>
      <c r="E4867" s="1">
        <f>IFERROR(__xludf.DUMMYFUNCTION("""COMPUTED_VALUE"""),0.0)</f>
        <v>0</v>
      </c>
    </row>
    <row r="4868">
      <c r="A4868" s="1">
        <f>IFERROR(__xludf.DUMMYFUNCTION("""COMPUTED_VALUE"""),876397.0)</f>
        <v>876397</v>
      </c>
      <c r="B4868" s="2">
        <f>IFERROR(__xludf.DUMMYFUNCTION("""COMPUTED_VALUE"""),42743.128324159494)</f>
        <v>42743.12832</v>
      </c>
      <c r="C4868" s="1" t="str">
        <f>IFERROR(__xludf.DUMMYFUNCTION("""COMPUTED_VALUE"""),"treatment")</f>
        <v>treatment</v>
      </c>
      <c r="D4868" s="1" t="str">
        <f>IFERROR(__xludf.DUMMYFUNCTION("""COMPUTED_VALUE"""),"new_page")</f>
        <v>new_page</v>
      </c>
      <c r="E4868" s="1">
        <f>IFERROR(__xludf.DUMMYFUNCTION("""COMPUTED_VALUE"""),0.0)</f>
        <v>0</v>
      </c>
    </row>
    <row r="4869">
      <c r="A4869" s="1">
        <f>IFERROR(__xludf.DUMMYFUNCTION("""COMPUTED_VALUE"""),817801.0)</f>
        <v>817801</v>
      </c>
      <c r="B4869" s="2">
        <f>IFERROR(__xludf.DUMMYFUNCTION("""COMPUTED_VALUE"""),42755.78504819588)</f>
        <v>42755.78505</v>
      </c>
      <c r="C4869" s="1" t="str">
        <f>IFERROR(__xludf.DUMMYFUNCTION("""COMPUTED_VALUE"""),"control")</f>
        <v>control</v>
      </c>
      <c r="D4869" s="1" t="str">
        <f>IFERROR(__xludf.DUMMYFUNCTION("""COMPUTED_VALUE"""),"old_page")</f>
        <v>old_page</v>
      </c>
      <c r="E4869" s="1">
        <f>IFERROR(__xludf.DUMMYFUNCTION("""COMPUTED_VALUE"""),1.0)</f>
        <v>1</v>
      </c>
    </row>
    <row r="4870">
      <c r="A4870" s="1">
        <f>IFERROR(__xludf.DUMMYFUNCTION("""COMPUTED_VALUE"""),823652.0)</f>
        <v>823652</v>
      </c>
      <c r="B4870" s="2">
        <f>IFERROR(__xludf.DUMMYFUNCTION("""COMPUTED_VALUE"""),42757.682388532005)</f>
        <v>42757.68239</v>
      </c>
      <c r="C4870" s="1" t="str">
        <f>IFERROR(__xludf.DUMMYFUNCTION("""COMPUTED_VALUE"""),"treatment")</f>
        <v>treatment</v>
      </c>
      <c r="D4870" s="1" t="str">
        <f>IFERROR(__xludf.DUMMYFUNCTION("""COMPUTED_VALUE"""),"new_page")</f>
        <v>new_page</v>
      </c>
      <c r="E4870" s="1">
        <f>IFERROR(__xludf.DUMMYFUNCTION("""COMPUTED_VALUE"""),0.0)</f>
        <v>0</v>
      </c>
    </row>
    <row r="4871">
      <c r="A4871" s="1">
        <f>IFERROR(__xludf.DUMMYFUNCTION("""COMPUTED_VALUE"""),933499.0)</f>
        <v>933499</v>
      </c>
      <c r="B4871" s="2">
        <f>IFERROR(__xludf.DUMMYFUNCTION("""COMPUTED_VALUE"""),42741.37345780612)</f>
        <v>42741.37346</v>
      </c>
      <c r="C4871" s="1" t="str">
        <f>IFERROR(__xludf.DUMMYFUNCTION("""COMPUTED_VALUE"""),"control")</f>
        <v>control</v>
      </c>
      <c r="D4871" s="1" t="str">
        <f>IFERROR(__xludf.DUMMYFUNCTION("""COMPUTED_VALUE"""),"old_page")</f>
        <v>old_page</v>
      </c>
      <c r="E4871" s="1">
        <f>IFERROR(__xludf.DUMMYFUNCTION("""COMPUTED_VALUE"""),0.0)</f>
        <v>0</v>
      </c>
    </row>
    <row r="4872">
      <c r="A4872" s="1">
        <f>IFERROR(__xludf.DUMMYFUNCTION("""COMPUTED_VALUE"""),914916.0)</f>
        <v>914916</v>
      </c>
      <c r="B4872" s="2">
        <f>IFERROR(__xludf.DUMMYFUNCTION("""COMPUTED_VALUE"""),42750.31365436991)</f>
        <v>42750.31365</v>
      </c>
      <c r="C4872" s="1" t="str">
        <f>IFERROR(__xludf.DUMMYFUNCTION("""COMPUTED_VALUE"""),"control")</f>
        <v>control</v>
      </c>
      <c r="D4872" s="1" t="str">
        <f>IFERROR(__xludf.DUMMYFUNCTION("""COMPUTED_VALUE"""),"old_page")</f>
        <v>old_page</v>
      </c>
      <c r="E4872" s="1">
        <f>IFERROR(__xludf.DUMMYFUNCTION("""COMPUTED_VALUE"""),0.0)</f>
        <v>0</v>
      </c>
    </row>
    <row r="4873">
      <c r="A4873" s="1">
        <f>IFERROR(__xludf.DUMMYFUNCTION("""COMPUTED_VALUE"""),897746.0)</f>
        <v>897746</v>
      </c>
      <c r="B4873" s="2">
        <f>IFERROR(__xludf.DUMMYFUNCTION("""COMPUTED_VALUE"""),42751.64283520872)</f>
        <v>42751.64284</v>
      </c>
      <c r="C4873" s="1" t="str">
        <f>IFERROR(__xludf.DUMMYFUNCTION("""COMPUTED_VALUE"""),"control")</f>
        <v>control</v>
      </c>
      <c r="D4873" s="1" t="str">
        <f>IFERROR(__xludf.DUMMYFUNCTION("""COMPUTED_VALUE"""),"old_page")</f>
        <v>old_page</v>
      </c>
      <c r="E4873" s="1">
        <f>IFERROR(__xludf.DUMMYFUNCTION("""COMPUTED_VALUE"""),0.0)</f>
        <v>0</v>
      </c>
    </row>
    <row r="4874">
      <c r="A4874" s="1">
        <f>IFERROR(__xludf.DUMMYFUNCTION("""COMPUTED_VALUE"""),829560.0)</f>
        <v>829560</v>
      </c>
      <c r="B4874" s="2">
        <f>IFERROR(__xludf.DUMMYFUNCTION("""COMPUTED_VALUE"""),42738.26360974682)</f>
        <v>42738.26361</v>
      </c>
      <c r="C4874" s="1" t="str">
        <f>IFERROR(__xludf.DUMMYFUNCTION("""COMPUTED_VALUE"""),"control")</f>
        <v>control</v>
      </c>
      <c r="D4874" s="1" t="str">
        <f>IFERROR(__xludf.DUMMYFUNCTION("""COMPUTED_VALUE"""),"old_page")</f>
        <v>old_page</v>
      </c>
      <c r="E4874" s="1">
        <f>IFERROR(__xludf.DUMMYFUNCTION("""COMPUTED_VALUE"""),0.0)</f>
        <v>0</v>
      </c>
    </row>
    <row r="4875">
      <c r="A4875" s="1">
        <f>IFERROR(__xludf.DUMMYFUNCTION("""COMPUTED_VALUE"""),771925.0)</f>
        <v>771925</v>
      </c>
      <c r="B4875" s="2">
        <f>IFERROR(__xludf.DUMMYFUNCTION("""COMPUTED_VALUE"""),42749.28198393137)</f>
        <v>42749.28198</v>
      </c>
      <c r="C4875" s="1" t="str">
        <f>IFERROR(__xludf.DUMMYFUNCTION("""COMPUTED_VALUE"""),"treatment")</f>
        <v>treatment</v>
      </c>
      <c r="D4875" s="1" t="str">
        <f>IFERROR(__xludf.DUMMYFUNCTION("""COMPUTED_VALUE"""),"new_page")</f>
        <v>new_page</v>
      </c>
      <c r="E4875" s="1">
        <f>IFERROR(__xludf.DUMMYFUNCTION("""COMPUTED_VALUE"""),0.0)</f>
        <v>0</v>
      </c>
    </row>
    <row r="4876">
      <c r="A4876" s="1">
        <f>IFERROR(__xludf.DUMMYFUNCTION("""COMPUTED_VALUE"""),685373.0)</f>
        <v>685373</v>
      </c>
      <c r="B4876" s="2">
        <f>IFERROR(__xludf.DUMMYFUNCTION("""COMPUTED_VALUE"""),42743.24789804105)</f>
        <v>42743.2479</v>
      </c>
      <c r="C4876" s="1" t="str">
        <f>IFERROR(__xludf.DUMMYFUNCTION("""COMPUTED_VALUE"""),"treatment")</f>
        <v>treatment</v>
      </c>
      <c r="D4876" s="1" t="str">
        <f>IFERROR(__xludf.DUMMYFUNCTION("""COMPUTED_VALUE"""),"new_page")</f>
        <v>new_page</v>
      </c>
      <c r="E4876" s="1">
        <f>IFERROR(__xludf.DUMMYFUNCTION("""COMPUTED_VALUE"""),1.0)</f>
        <v>1</v>
      </c>
    </row>
    <row r="4877">
      <c r="A4877" s="1">
        <f>IFERROR(__xludf.DUMMYFUNCTION("""COMPUTED_VALUE"""),682188.0)</f>
        <v>682188</v>
      </c>
      <c r="B4877" s="2">
        <f>IFERROR(__xludf.DUMMYFUNCTION("""COMPUTED_VALUE"""),42747.83260882288)</f>
        <v>42747.83261</v>
      </c>
      <c r="C4877" s="1" t="str">
        <f>IFERROR(__xludf.DUMMYFUNCTION("""COMPUTED_VALUE"""),"control")</f>
        <v>control</v>
      </c>
      <c r="D4877" s="1" t="str">
        <f>IFERROR(__xludf.DUMMYFUNCTION("""COMPUTED_VALUE"""),"old_page")</f>
        <v>old_page</v>
      </c>
      <c r="E4877" s="1">
        <f>IFERROR(__xludf.DUMMYFUNCTION("""COMPUTED_VALUE"""),0.0)</f>
        <v>0</v>
      </c>
    </row>
    <row r="4878">
      <c r="A4878" s="1">
        <f>IFERROR(__xludf.DUMMYFUNCTION("""COMPUTED_VALUE"""),767558.0)</f>
        <v>767558</v>
      </c>
      <c r="B4878" s="2">
        <f>IFERROR(__xludf.DUMMYFUNCTION("""COMPUTED_VALUE"""),42757.28192084008)</f>
        <v>42757.28192</v>
      </c>
      <c r="C4878" s="1" t="str">
        <f>IFERROR(__xludf.DUMMYFUNCTION("""COMPUTED_VALUE"""),"treatment")</f>
        <v>treatment</v>
      </c>
      <c r="D4878" s="1" t="str">
        <f>IFERROR(__xludf.DUMMYFUNCTION("""COMPUTED_VALUE"""),"new_page")</f>
        <v>new_page</v>
      </c>
      <c r="E4878" s="1">
        <f>IFERROR(__xludf.DUMMYFUNCTION("""COMPUTED_VALUE"""),0.0)</f>
        <v>0</v>
      </c>
    </row>
    <row r="4879">
      <c r="A4879" s="1">
        <f>IFERROR(__xludf.DUMMYFUNCTION("""COMPUTED_VALUE"""),883314.0)</f>
        <v>883314</v>
      </c>
      <c r="B4879" s="2">
        <f>IFERROR(__xludf.DUMMYFUNCTION("""COMPUTED_VALUE"""),42745.30288071599)</f>
        <v>42745.30288</v>
      </c>
      <c r="C4879" s="1" t="str">
        <f>IFERROR(__xludf.DUMMYFUNCTION("""COMPUTED_VALUE"""),"control")</f>
        <v>control</v>
      </c>
      <c r="D4879" s="1" t="str">
        <f>IFERROR(__xludf.DUMMYFUNCTION("""COMPUTED_VALUE"""),"old_page")</f>
        <v>old_page</v>
      </c>
      <c r="E4879" s="1">
        <f>IFERROR(__xludf.DUMMYFUNCTION("""COMPUTED_VALUE"""),0.0)</f>
        <v>0</v>
      </c>
    </row>
    <row r="4880">
      <c r="A4880" s="1">
        <f>IFERROR(__xludf.DUMMYFUNCTION("""COMPUTED_VALUE"""),689130.0)</f>
        <v>689130</v>
      </c>
      <c r="B4880" s="2">
        <f>IFERROR(__xludf.DUMMYFUNCTION("""COMPUTED_VALUE"""),42739.278289857546)</f>
        <v>42739.27829</v>
      </c>
      <c r="C4880" s="1" t="str">
        <f>IFERROR(__xludf.DUMMYFUNCTION("""COMPUTED_VALUE"""),"control")</f>
        <v>control</v>
      </c>
      <c r="D4880" s="1" t="str">
        <f>IFERROR(__xludf.DUMMYFUNCTION("""COMPUTED_VALUE"""),"old_page")</f>
        <v>old_page</v>
      </c>
      <c r="E4880" s="1">
        <f>IFERROR(__xludf.DUMMYFUNCTION("""COMPUTED_VALUE"""),0.0)</f>
        <v>0</v>
      </c>
    </row>
    <row r="4881">
      <c r="A4881" s="1">
        <f>IFERROR(__xludf.DUMMYFUNCTION("""COMPUTED_VALUE"""),872173.0)</f>
        <v>872173</v>
      </c>
      <c r="B4881" s="2">
        <f>IFERROR(__xludf.DUMMYFUNCTION("""COMPUTED_VALUE"""),42750.0453900383)</f>
        <v>42750.04539</v>
      </c>
      <c r="C4881" s="1" t="str">
        <f>IFERROR(__xludf.DUMMYFUNCTION("""COMPUTED_VALUE"""),"control")</f>
        <v>control</v>
      </c>
      <c r="D4881" s="1" t="str">
        <f>IFERROR(__xludf.DUMMYFUNCTION("""COMPUTED_VALUE"""),"old_page")</f>
        <v>old_page</v>
      </c>
      <c r="E4881" s="1">
        <f>IFERROR(__xludf.DUMMYFUNCTION("""COMPUTED_VALUE"""),0.0)</f>
        <v>0</v>
      </c>
    </row>
    <row r="4882">
      <c r="A4882" s="1">
        <f>IFERROR(__xludf.DUMMYFUNCTION("""COMPUTED_VALUE"""),809461.0)</f>
        <v>809461</v>
      </c>
      <c r="B4882" s="2">
        <f>IFERROR(__xludf.DUMMYFUNCTION("""COMPUTED_VALUE"""),42747.339054758784)</f>
        <v>42747.33905</v>
      </c>
      <c r="C4882" s="1" t="str">
        <f>IFERROR(__xludf.DUMMYFUNCTION("""COMPUTED_VALUE"""),"treatment")</f>
        <v>treatment</v>
      </c>
      <c r="D4882" s="1" t="str">
        <f>IFERROR(__xludf.DUMMYFUNCTION("""COMPUTED_VALUE"""),"new_page")</f>
        <v>new_page</v>
      </c>
      <c r="E4882" s="1">
        <f>IFERROR(__xludf.DUMMYFUNCTION("""COMPUTED_VALUE"""),0.0)</f>
        <v>0</v>
      </c>
    </row>
    <row r="4883">
      <c r="A4883" s="1">
        <f>IFERROR(__xludf.DUMMYFUNCTION("""COMPUTED_VALUE"""),812465.0)</f>
        <v>812465</v>
      </c>
      <c r="B4883" s="2">
        <f>IFERROR(__xludf.DUMMYFUNCTION("""COMPUTED_VALUE"""),42737.760477389944)</f>
        <v>42737.76048</v>
      </c>
      <c r="C4883" s="1" t="str">
        <f>IFERROR(__xludf.DUMMYFUNCTION("""COMPUTED_VALUE"""),"treatment")</f>
        <v>treatment</v>
      </c>
      <c r="D4883" s="1" t="str">
        <f>IFERROR(__xludf.DUMMYFUNCTION("""COMPUTED_VALUE"""),"new_page")</f>
        <v>new_page</v>
      </c>
      <c r="E4883" s="1">
        <f>IFERROR(__xludf.DUMMYFUNCTION("""COMPUTED_VALUE"""),0.0)</f>
        <v>0</v>
      </c>
    </row>
    <row r="4884">
      <c r="A4884" s="1">
        <f>IFERROR(__xludf.DUMMYFUNCTION("""COMPUTED_VALUE"""),773955.0)</f>
        <v>773955</v>
      </c>
      <c r="B4884" s="2">
        <f>IFERROR(__xludf.DUMMYFUNCTION("""COMPUTED_VALUE"""),42750.488571945774)</f>
        <v>42750.48857</v>
      </c>
      <c r="C4884" s="1" t="str">
        <f>IFERROR(__xludf.DUMMYFUNCTION("""COMPUTED_VALUE"""),"control")</f>
        <v>control</v>
      </c>
      <c r="D4884" s="1" t="str">
        <f>IFERROR(__xludf.DUMMYFUNCTION("""COMPUTED_VALUE"""),"old_page")</f>
        <v>old_page</v>
      </c>
      <c r="E4884" s="1">
        <f>IFERROR(__xludf.DUMMYFUNCTION("""COMPUTED_VALUE"""),0.0)</f>
        <v>0</v>
      </c>
    </row>
    <row r="4885">
      <c r="A4885" s="1">
        <f>IFERROR(__xludf.DUMMYFUNCTION("""COMPUTED_VALUE"""),837362.0)</f>
        <v>837362</v>
      </c>
      <c r="B4885" s="2">
        <f>IFERROR(__xludf.DUMMYFUNCTION("""COMPUTED_VALUE"""),42751.52684303062)</f>
        <v>42751.52684</v>
      </c>
      <c r="C4885" s="1" t="str">
        <f>IFERROR(__xludf.DUMMYFUNCTION("""COMPUTED_VALUE"""),"treatment")</f>
        <v>treatment</v>
      </c>
      <c r="D4885" s="1" t="str">
        <f>IFERROR(__xludf.DUMMYFUNCTION("""COMPUTED_VALUE"""),"new_page")</f>
        <v>new_page</v>
      </c>
      <c r="E4885" s="1">
        <f>IFERROR(__xludf.DUMMYFUNCTION("""COMPUTED_VALUE"""),1.0)</f>
        <v>1</v>
      </c>
    </row>
    <row r="4886">
      <c r="A4886" s="1">
        <f>IFERROR(__xludf.DUMMYFUNCTION("""COMPUTED_VALUE"""),802963.0)</f>
        <v>802963</v>
      </c>
      <c r="B4886" s="2">
        <f>IFERROR(__xludf.DUMMYFUNCTION("""COMPUTED_VALUE"""),42743.684045018985)</f>
        <v>42743.68405</v>
      </c>
      <c r="C4886" s="1" t="str">
        <f>IFERROR(__xludf.DUMMYFUNCTION("""COMPUTED_VALUE"""),"control")</f>
        <v>control</v>
      </c>
      <c r="D4886" s="1" t="str">
        <f>IFERROR(__xludf.DUMMYFUNCTION("""COMPUTED_VALUE"""),"old_page")</f>
        <v>old_page</v>
      </c>
      <c r="E4886" s="1">
        <f>IFERROR(__xludf.DUMMYFUNCTION("""COMPUTED_VALUE"""),0.0)</f>
        <v>0</v>
      </c>
    </row>
    <row r="4887">
      <c r="A4887" s="1">
        <f>IFERROR(__xludf.DUMMYFUNCTION("""COMPUTED_VALUE"""),848070.0)</f>
        <v>848070</v>
      </c>
      <c r="B4887" s="2">
        <f>IFERROR(__xludf.DUMMYFUNCTION("""COMPUTED_VALUE"""),42747.751350015904)</f>
        <v>42747.75135</v>
      </c>
      <c r="C4887" s="1" t="str">
        <f>IFERROR(__xludf.DUMMYFUNCTION("""COMPUTED_VALUE"""),"treatment")</f>
        <v>treatment</v>
      </c>
      <c r="D4887" s="1" t="str">
        <f>IFERROR(__xludf.DUMMYFUNCTION("""COMPUTED_VALUE"""),"new_page")</f>
        <v>new_page</v>
      </c>
      <c r="E4887" s="1">
        <f>IFERROR(__xludf.DUMMYFUNCTION("""COMPUTED_VALUE"""),0.0)</f>
        <v>0</v>
      </c>
    </row>
    <row r="4888">
      <c r="A4888" s="1">
        <f>IFERROR(__xludf.DUMMYFUNCTION("""COMPUTED_VALUE"""),942413.0)</f>
        <v>942413</v>
      </c>
      <c r="B4888" s="2">
        <f>IFERROR(__xludf.DUMMYFUNCTION("""COMPUTED_VALUE"""),42745.18365193703)</f>
        <v>42745.18365</v>
      </c>
      <c r="C4888" s="1" t="str">
        <f>IFERROR(__xludf.DUMMYFUNCTION("""COMPUTED_VALUE"""),"treatment")</f>
        <v>treatment</v>
      </c>
      <c r="D4888" s="1" t="str">
        <f>IFERROR(__xludf.DUMMYFUNCTION("""COMPUTED_VALUE"""),"new_page")</f>
        <v>new_page</v>
      </c>
      <c r="E4888" s="1">
        <f>IFERROR(__xludf.DUMMYFUNCTION("""COMPUTED_VALUE"""),0.0)</f>
        <v>0</v>
      </c>
    </row>
    <row r="4889">
      <c r="A4889" s="1">
        <f>IFERROR(__xludf.DUMMYFUNCTION("""COMPUTED_VALUE"""),741933.0)</f>
        <v>741933</v>
      </c>
      <c r="B4889" s="2">
        <f>IFERROR(__xludf.DUMMYFUNCTION("""COMPUTED_VALUE"""),42749.75743442701)</f>
        <v>42749.75743</v>
      </c>
      <c r="C4889" s="1" t="str">
        <f>IFERROR(__xludf.DUMMYFUNCTION("""COMPUTED_VALUE"""),"treatment")</f>
        <v>treatment</v>
      </c>
      <c r="D4889" s="1" t="str">
        <f>IFERROR(__xludf.DUMMYFUNCTION("""COMPUTED_VALUE"""),"new_page")</f>
        <v>new_page</v>
      </c>
      <c r="E4889" s="1">
        <f>IFERROR(__xludf.DUMMYFUNCTION("""COMPUTED_VALUE"""),0.0)</f>
        <v>0</v>
      </c>
    </row>
    <row r="4890">
      <c r="A4890" s="1">
        <f>IFERROR(__xludf.DUMMYFUNCTION("""COMPUTED_VALUE"""),775732.0)</f>
        <v>775732</v>
      </c>
      <c r="B4890" s="2">
        <f>IFERROR(__xludf.DUMMYFUNCTION("""COMPUTED_VALUE"""),42745.04406089965)</f>
        <v>42745.04406</v>
      </c>
      <c r="C4890" s="1" t="str">
        <f>IFERROR(__xludf.DUMMYFUNCTION("""COMPUTED_VALUE"""),"treatment")</f>
        <v>treatment</v>
      </c>
      <c r="D4890" s="1" t="str">
        <f>IFERROR(__xludf.DUMMYFUNCTION("""COMPUTED_VALUE"""),"new_page")</f>
        <v>new_page</v>
      </c>
      <c r="E4890" s="1">
        <f>IFERROR(__xludf.DUMMYFUNCTION("""COMPUTED_VALUE"""),0.0)</f>
        <v>0</v>
      </c>
    </row>
    <row r="4891">
      <c r="A4891" s="1">
        <f>IFERROR(__xludf.DUMMYFUNCTION("""COMPUTED_VALUE"""),719611.0)</f>
        <v>719611</v>
      </c>
      <c r="B4891" s="2">
        <f>IFERROR(__xludf.DUMMYFUNCTION("""COMPUTED_VALUE"""),42747.68010026065)</f>
        <v>42747.6801</v>
      </c>
      <c r="C4891" s="1" t="str">
        <f>IFERROR(__xludf.DUMMYFUNCTION("""COMPUTED_VALUE"""),"control")</f>
        <v>control</v>
      </c>
      <c r="D4891" s="1" t="str">
        <f>IFERROR(__xludf.DUMMYFUNCTION("""COMPUTED_VALUE"""),"old_page")</f>
        <v>old_page</v>
      </c>
      <c r="E4891" s="1">
        <f>IFERROR(__xludf.DUMMYFUNCTION("""COMPUTED_VALUE"""),0.0)</f>
        <v>0</v>
      </c>
    </row>
    <row r="4892">
      <c r="A4892" s="1">
        <f>IFERROR(__xludf.DUMMYFUNCTION("""COMPUTED_VALUE"""),663561.0)</f>
        <v>663561</v>
      </c>
      <c r="B4892" s="2">
        <f>IFERROR(__xludf.DUMMYFUNCTION("""COMPUTED_VALUE"""),42752.47943156316)</f>
        <v>42752.47943</v>
      </c>
      <c r="C4892" s="1" t="str">
        <f>IFERROR(__xludf.DUMMYFUNCTION("""COMPUTED_VALUE"""),"control")</f>
        <v>control</v>
      </c>
      <c r="D4892" s="1" t="str">
        <f>IFERROR(__xludf.DUMMYFUNCTION("""COMPUTED_VALUE"""),"old_page")</f>
        <v>old_page</v>
      </c>
      <c r="E4892" s="1">
        <f>IFERROR(__xludf.DUMMYFUNCTION("""COMPUTED_VALUE"""),0.0)</f>
        <v>0</v>
      </c>
    </row>
    <row r="4893">
      <c r="A4893" s="1">
        <f>IFERROR(__xludf.DUMMYFUNCTION("""COMPUTED_VALUE"""),644783.0)</f>
        <v>644783</v>
      </c>
      <c r="B4893" s="2">
        <f>IFERROR(__xludf.DUMMYFUNCTION("""COMPUTED_VALUE"""),42742.840160286316)</f>
        <v>42742.84016</v>
      </c>
      <c r="C4893" s="1" t="str">
        <f>IFERROR(__xludf.DUMMYFUNCTION("""COMPUTED_VALUE"""),"control")</f>
        <v>control</v>
      </c>
      <c r="D4893" s="1" t="str">
        <f>IFERROR(__xludf.DUMMYFUNCTION("""COMPUTED_VALUE"""),"old_page")</f>
        <v>old_page</v>
      </c>
      <c r="E4893" s="1">
        <f>IFERROR(__xludf.DUMMYFUNCTION("""COMPUTED_VALUE"""),0.0)</f>
        <v>0</v>
      </c>
    </row>
    <row r="4894">
      <c r="A4894" s="1">
        <f>IFERROR(__xludf.DUMMYFUNCTION("""COMPUTED_VALUE"""),651894.0)</f>
        <v>651894</v>
      </c>
      <c r="B4894" s="2">
        <f>IFERROR(__xludf.DUMMYFUNCTION("""COMPUTED_VALUE"""),42756.962575303)</f>
        <v>42756.96258</v>
      </c>
      <c r="C4894" s="1" t="str">
        <f>IFERROR(__xludf.DUMMYFUNCTION("""COMPUTED_VALUE"""),"treatment")</f>
        <v>treatment</v>
      </c>
      <c r="D4894" s="1" t="str">
        <f>IFERROR(__xludf.DUMMYFUNCTION("""COMPUTED_VALUE"""),"new_page")</f>
        <v>new_page</v>
      </c>
      <c r="E4894" s="1">
        <f>IFERROR(__xludf.DUMMYFUNCTION("""COMPUTED_VALUE"""),0.0)</f>
        <v>0</v>
      </c>
    </row>
    <row r="4895">
      <c r="A4895" s="1">
        <f>IFERROR(__xludf.DUMMYFUNCTION("""COMPUTED_VALUE"""),662443.0)</f>
        <v>662443</v>
      </c>
      <c r="B4895" s="2">
        <f>IFERROR(__xludf.DUMMYFUNCTION("""COMPUTED_VALUE"""),42738.5038261462)</f>
        <v>42738.50383</v>
      </c>
      <c r="C4895" s="1" t="str">
        <f>IFERROR(__xludf.DUMMYFUNCTION("""COMPUTED_VALUE"""),"treatment")</f>
        <v>treatment</v>
      </c>
      <c r="D4895" s="1" t="str">
        <f>IFERROR(__xludf.DUMMYFUNCTION("""COMPUTED_VALUE"""),"new_page")</f>
        <v>new_page</v>
      </c>
      <c r="E4895" s="1">
        <f>IFERROR(__xludf.DUMMYFUNCTION("""COMPUTED_VALUE"""),1.0)</f>
        <v>1</v>
      </c>
    </row>
    <row r="4896">
      <c r="A4896" s="1">
        <f>IFERROR(__xludf.DUMMYFUNCTION("""COMPUTED_VALUE"""),639963.0)</f>
        <v>639963</v>
      </c>
      <c r="B4896" s="2">
        <f>IFERROR(__xludf.DUMMYFUNCTION("""COMPUTED_VALUE"""),42744.07488295357)</f>
        <v>42744.07488</v>
      </c>
      <c r="C4896" s="1" t="str">
        <f>IFERROR(__xludf.DUMMYFUNCTION("""COMPUTED_VALUE"""),"treatment")</f>
        <v>treatment</v>
      </c>
      <c r="D4896" s="1" t="str">
        <f>IFERROR(__xludf.DUMMYFUNCTION("""COMPUTED_VALUE"""),"new_page")</f>
        <v>new_page</v>
      </c>
      <c r="E4896" s="1">
        <f>IFERROR(__xludf.DUMMYFUNCTION("""COMPUTED_VALUE"""),0.0)</f>
        <v>0</v>
      </c>
    </row>
    <row r="4897">
      <c r="A4897" s="1">
        <f>IFERROR(__xludf.DUMMYFUNCTION("""COMPUTED_VALUE"""),724431.0)</f>
        <v>724431</v>
      </c>
      <c r="B4897" s="2">
        <f>IFERROR(__xludf.DUMMYFUNCTION("""COMPUTED_VALUE"""),42752.59453144529)</f>
        <v>42752.59453</v>
      </c>
      <c r="C4897" s="1" t="str">
        <f>IFERROR(__xludf.DUMMYFUNCTION("""COMPUTED_VALUE"""),"control")</f>
        <v>control</v>
      </c>
      <c r="D4897" s="1" t="str">
        <f>IFERROR(__xludf.DUMMYFUNCTION("""COMPUTED_VALUE"""),"old_page")</f>
        <v>old_page</v>
      </c>
      <c r="E4897" s="1">
        <f>IFERROR(__xludf.DUMMYFUNCTION("""COMPUTED_VALUE"""),0.0)</f>
        <v>0</v>
      </c>
    </row>
    <row r="4898">
      <c r="A4898" s="1">
        <f>IFERROR(__xludf.DUMMYFUNCTION("""COMPUTED_VALUE"""),875906.0)</f>
        <v>875906</v>
      </c>
      <c r="B4898" s="2">
        <f>IFERROR(__xludf.DUMMYFUNCTION("""COMPUTED_VALUE"""),42756.30177349638)</f>
        <v>42756.30177</v>
      </c>
      <c r="C4898" s="1" t="str">
        <f>IFERROR(__xludf.DUMMYFUNCTION("""COMPUTED_VALUE"""),"treatment")</f>
        <v>treatment</v>
      </c>
      <c r="D4898" s="1" t="str">
        <f>IFERROR(__xludf.DUMMYFUNCTION("""COMPUTED_VALUE"""),"new_page")</f>
        <v>new_page</v>
      </c>
      <c r="E4898" s="1">
        <f>IFERROR(__xludf.DUMMYFUNCTION("""COMPUTED_VALUE"""),0.0)</f>
        <v>0</v>
      </c>
    </row>
    <row r="4899">
      <c r="A4899" s="1">
        <f>IFERROR(__xludf.DUMMYFUNCTION("""COMPUTED_VALUE"""),934263.0)</f>
        <v>934263</v>
      </c>
      <c r="B4899" s="2">
        <f>IFERROR(__xludf.DUMMYFUNCTION("""COMPUTED_VALUE"""),42746.1579889709)</f>
        <v>42746.15799</v>
      </c>
      <c r="C4899" s="1" t="str">
        <f>IFERROR(__xludf.DUMMYFUNCTION("""COMPUTED_VALUE"""),"treatment")</f>
        <v>treatment</v>
      </c>
      <c r="D4899" s="1" t="str">
        <f>IFERROR(__xludf.DUMMYFUNCTION("""COMPUTED_VALUE"""),"new_page")</f>
        <v>new_page</v>
      </c>
      <c r="E4899" s="1">
        <f>IFERROR(__xludf.DUMMYFUNCTION("""COMPUTED_VALUE"""),0.0)</f>
        <v>0</v>
      </c>
    </row>
    <row r="4900">
      <c r="A4900" s="1">
        <f>IFERROR(__xludf.DUMMYFUNCTION("""COMPUTED_VALUE"""),921791.0)</f>
        <v>921791</v>
      </c>
      <c r="B4900" s="2">
        <f>IFERROR(__xludf.DUMMYFUNCTION("""COMPUTED_VALUE"""),42745.80699520917)</f>
        <v>42745.807</v>
      </c>
      <c r="C4900" s="1" t="str">
        <f>IFERROR(__xludf.DUMMYFUNCTION("""COMPUTED_VALUE"""),"treatment")</f>
        <v>treatment</v>
      </c>
      <c r="D4900" s="1" t="str">
        <f>IFERROR(__xludf.DUMMYFUNCTION("""COMPUTED_VALUE"""),"new_page")</f>
        <v>new_page</v>
      </c>
      <c r="E4900" s="1">
        <f>IFERROR(__xludf.DUMMYFUNCTION("""COMPUTED_VALUE"""),1.0)</f>
        <v>1</v>
      </c>
    </row>
    <row r="4901">
      <c r="A4901" s="1">
        <f>IFERROR(__xludf.DUMMYFUNCTION("""COMPUTED_VALUE"""),657128.0)</f>
        <v>657128</v>
      </c>
      <c r="B4901" s="2">
        <f>IFERROR(__xludf.DUMMYFUNCTION("""COMPUTED_VALUE"""),42740.973375416965)</f>
        <v>42740.97338</v>
      </c>
      <c r="C4901" s="1" t="str">
        <f>IFERROR(__xludf.DUMMYFUNCTION("""COMPUTED_VALUE"""),"treatment")</f>
        <v>treatment</v>
      </c>
      <c r="D4901" s="1" t="str">
        <f>IFERROR(__xludf.DUMMYFUNCTION("""COMPUTED_VALUE"""),"new_page")</f>
        <v>new_page</v>
      </c>
      <c r="E4901" s="1">
        <f>IFERROR(__xludf.DUMMYFUNCTION("""COMPUTED_VALUE"""),0.0)</f>
        <v>0</v>
      </c>
    </row>
    <row r="4902">
      <c r="A4902" s="1">
        <f>IFERROR(__xludf.DUMMYFUNCTION("""COMPUTED_VALUE"""),939657.0)</f>
        <v>939657</v>
      </c>
      <c r="B4902" s="2">
        <f>IFERROR(__xludf.DUMMYFUNCTION("""COMPUTED_VALUE"""),42751.68817395402)</f>
        <v>42751.68817</v>
      </c>
      <c r="C4902" s="1" t="str">
        <f>IFERROR(__xludf.DUMMYFUNCTION("""COMPUTED_VALUE"""),"treatment")</f>
        <v>treatment</v>
      </c>
      <c r="D4902" s="1" t="str">
        <f>IFERROR(__xludf.DUMMYFUNCTION("""COMPUTED_VALUE"""),"new_page")</f>
        <v>new_page</v>
      </c>
      <c r="E4902" s="1">
        <f>IFERROR(__xludf.DUMMYFUNCTION("""COMPUTED_VALUE"""),0.0)</f>
        <v>0</v>
      </c>
    </row>
    <row r="4903">
      <c r="A4903" s="1">
        <f>IFERROR(__xludf.DUMMYFUNCTION("""COMPUTED_VALUE"""),820014.0)</f>
        <v>820014</v>
      </c>
      <c r="B4903" s="2">
        <f>IFERROR(__xludf.DUMMYFUNCTION("""COMPUTED_VALUE"""),42757.74324961141)</f>
        <v>42757.74325</v>
      </c>
      <c r="C4903" s="1" t="str">
        <f>IFERROR(__xludf.DUMMYFUNCTION("""COMPUTED_VALUE"""),"control")</f>
        <v>control</v>
      </c>
      <c r="D4903" s="1" t="str">
        <f>IFERROR(__xludf.DUMMYFUNCTION("""COMPUTED_VALUE"""),"old_page")</f>
        <v>old_page</v>
      </c>
      <c r="E4903" s="1">
        <f>IFERROR(__xludf.DUMMYFUNCTION("""COMPUTED_VALUE"""),0.0)</f>
        <v>0</v>
      </c>
    </row>
    <row r="4904">
      <c r="A4904" s="1">
        <f>IFERROR(__xludf.DUMMYFUNCTION("""COMPUTED_VALUE"""),703263.0)</f>
        <v>703263</v>
      </c>
      <c r="B4904" s="2">
        <f>IFERROR(__xludf.DUMMYFUNCTION("""COMPUTED_VALUE"""),42740.476694699166)</f>
        <v>42740.47669</v>
      </c>
      <c r="C4904" s="1" t="str">
        <f>IFERROR(__xludf.DUMMYFUNCTION("""COMPUTED_VALUE"""),"control")</f>
        <v>control</v>
      </c>
      <c r="D4904" s="1" t="str">
        <f>IFERROR(__xludf.DUMMYFUNCTION("""COMPUTED_VALUE"""),"old_page")</f>
        <v>old_page</v>
      </c>
      <c r="E4904" s="1">
        <f>IFERROR(__xludf.DUMMYFUNCTION("""COMPUTED_VALUE"""),0.0)</f>
        <v>0</v>
      </c>
    </row>
    <row r="4905">
      <c r="A4905" s="1">
        <f>IFERROR(__xludf.DUMMYFUNCTION("""COMPUTED_VALUE"""),650390.0)</f>
        <v>650390</v>
      </c>
      <c r="B4905" s="2">
        <f>IFERROR(__xludf.DUMMYFUNCTION("""COMPUTED_VALUE"""),42741.43188168615)</f>
        <v>42741.43188</v>
      </c>
      <c r="C4905" s="1" t="str">
        <f>IFERROR(__xludf.DUMMYFUNCTION("""COMPUTED_VALUE"""),"treatment")</f>
        <v>treatment</v>
      </c>
      <c r="D4905" s="1" t="str">
        <f>IFERROR(__xludf.DUMMYFUNCTION("""COMPUTED_VALUE"""),"new_page")</f>
        <v>new_page</v>
      </c>
      <c r="E4905" s="1">
        <f>IFERROR(__xludf.DUMMYFUNCTION("""COMPUTED_VALUE"""),1.0)</f>
        <v>1</v>
      </c>
    </row>
    <row r="4906">
      <c r="A4906" s="1">
        <f>IFERROR(__xludf.DUMMYFUNCTION("""COMPUTED_VALUE"""),790199.0)</f>
        <v>790199</v>
      </c>
      <c r="B4906" s="2">
        <f>IFERROR(__xludf.DUMMYFUNCTION("""COMPUTED_VALUE"""),42749.18664432616)</f>
        <v>42749.18664</v>
      </c>
      <c r="C4906" s="1" t="str">
        <f>IFERROR(__xludf.DUMMYFUNCTION("""COMPUTED_VALUE"""),"treatment")</f>
        <v>treatment</v>
      </c>
      <c r="D4906" s="1" t="str">
        <f>IFERROR(__xludf.DUMMYFUNCTION("""COMPUTED_VALUE"""),"new_page")</f>
        <v>new_page</v>
      </c>
      <c r="E4906" s="1">
        <f>IFERROR(__xludf.DUMMYFUNCTION("""COMPUTED_VALUE"""),0.0)</f>
        <v>0</v>
      </c>
    </row>
    <row r="4907">
      <c r="A4907" s="1">
        <f>IFERROR(__xludf.DUMMYFUNCTION("""COMPUTED_VALUE"""),923915.0)</f>
        <v>923915</v>
      </c>
      <c r="B4907" s="2">
        <f>IFERROR(__xludf.DUMMYFUNCTION("""COMPUTED_VALUE"""),42745.67271003038)</f>
        <v>42745.67271</v>
      </c>
      <c r="C4907" s="1" t="str">
        <f>IFERROR(__xludf.DUMMYFUNCTION("""COMPUTED_VALUE"""),"control")</f>
        <v>control</v>
      </c>
      <c r="D4907" s="1" t="str">
        <f>IFERROR(__xludf.DUMMYFUNCTION("""COMPUTED_VALUE"""),"old_page")</f>
        <v>old_page</v>
      </c>
      <c r="E4907" s="1">
        <f>IFERROR(__xludf.DUMMYFUNCTION("""COMPUTED_VALUE"""),0.0)</f>
        <v>0</v>
      </c>
    </row>
    <row r="4908">
      <c r="A4908" s="1">
        <f>IFERROR(__xludf.DUMMYFUNCTION("""COMPUTED_VALUE"""),744390.0)</f>
        <v>744390</v>
      </c>
      <c r="B4908" s="2">
        <f>IFERROR(__xludf.DUMMYFUNCTION("""COMPUTED_VALUE"""),42746.15709441258)</f>
        <v>42746.15709</v>
      </c>
      <c r="C4908" s="1" t="str">
        <f>IFERROR(__xludf.DUMMYFUNCTION("""COMPUTED_VALUE"""),"control")</f>
        <v>control</v>
      </c>
      <c r="D4908" s="1" t="str">
        <f>IFERROR(__xludf.DUMMYFUNCTION("""COMPUTED_VALUE"""),"old_page")</f>
        <v>old_page</v>
      </c>
      <c r="E4908" s="1">
        <f>IFERROR(__xludf.DUMMYFUNCTION("""COMPUTED_VALUE"""),0.0)</f>
        <v>0</v>
      </c>
    </row>
    <row r="4909">
      <c r="A4909" s="1">
        <f>IFERROR(__xludf.DUMMYFUNCTION("""COMPUTED_VALUE"""),870096.0)</f>
        <v>870096</v>
      </c>
      <c r="B4909" s="2">
        <f>IFERROR(__xludf.DUMMYFUNCTION("""COMPUTED_VALUE"""),42738.53607314272)</f>
        <v>42738.53607</v>
      </c>
      <c r="C4909" s="1" t="str">
        <f>IFERROR(__xludf.DUMMYFUNCTION("""COMPUTED_VALUE"""),"control")</f>
        <v>control</v>
      </c>
      <c r="D4909" s="1" t="str">
        <f>IFERROR(__xludf.DUMMYFUNCTION("""COMPUTED_VALUE"""),"old_page")</f>
        <v>old_page</v>
      </c>
      <c r="E4909" s="1">
        <f>IFERROR(__xludf.DUMMYFUNCTION("""COMPUTED_VALUE"""),1.0)</f>
        <v>1</v>
      </c>
    </row>
    <row r="4910">
      <c r="A4910" s="1">
        <f>IFERROR(__xludf.DUMMYFUNCTION("""COMPUTED_VALUE"""),660592.0)</f>
        <v>660592</v>
      </c>
      <c r="B4910" s="2">
        <f>IFERROR(__xludf.DUMMYFUNCTION("""COMPUTED_VALUE"""),42754.3536542195)</f>
        <v>42754.35365</v>
      </c>
      <c r="C4910" s="1" t="str">
        <f>IFERROR(__xludf.DUMMYFUNCTION("""COMPUTED_VALUE"""),"control")</f>
        <v>control</v>
      </c>
      <c r="D4910" s="1" t="str">
        <f>IFERROR(__xludf.DUMMYFUNCTION("""COMPUTED_VALUE"""),"old_page")</f>
        <v>old_page</v>
      </c>
      <c r="E4910" s="1">
        <f>IFERROR(__xludf.DUMMYFUNCTION("""COMPUTED_VALUE"""),1.0)</f>
        <v>1</v>
      </c>
    </row>
    <row r="4911">
      <c r="A4911" s="1">
        <f>IFERROR(__xludf.DUMMYFUNCTION("""COMPUTED_VALUE"""),872829.0)</f>
        <v>872829</v>
      </c>
      <c r="B4911" s="2">
        <f>IFERROR(__xludf.DUMMYFUNCTION("""COMPUTED_VALUE"""),42753.418501975924)</f>
        <v>42753.4185</v>
      </c>
      <c r="C4911" s="1" t="str">
        <f>IFERROR(__xludf.DUMMYFUNCTION("""COMPUTED_VALUE"""),"control")</f>
        <v>control</v>
      </c>
      <c r="D4911" s="1" t="str">
        <f>IFERROR(__xludf.DUMMYFUNCTION("""COMPUTED_VALUE"""),"old_page")</f>
        <v>old_page</v>
      </c>
      <c r="E4911" s="1">
        <f>IFERROR(__xludf.DUMMYFUNCTION("""COMPUTED_VALUE"""),0.0)</f>
        <v>0</v>
      </c>
    </row>
    <row r="4912">
      <c r="A4912" s="1">
        <f>IFERROR(__xludf.DUMMYFUNCTION("""COMPUTED_VALUE"""),926873.0)</f>
        <v>926873</v>
      </c>
      <c r="B4912" s="2">
        <f>IFERROR(__xludf.DUMMYFUNCTION("""COMPUTED_VALUE"""),42755.85198470864)</f>
        <v>42755.85198</v>
      </c>
      <c r="C4912" s="1" t="str">
        <f>IFERROR(__xludf.DUMMYFUNCTION("""COMPUTED_VALUE"""),"control")</f>
        <v>control</v>
      </c>
      <c r="D4912" s="1" t="str">
        <f>IFERROR(__xludf.DUMMYFUNCTION("""COMPUTED_VALUE"""),"old_page")</f>
        <v>old_page</v>
      </c>
      <c r="E4912" s="1">
        <f>IFERROR(__xludf.DUMMYFUNCTION("""COMPUTED_VALUE"""),0.0)</f>
        <v>0</v>
      </c>
    </row>
    <row r="4913">
      <c r="A4913" s="1">
        <f>IFERROR(__xludf.DUMMYFUNCTION("""COMPUTED_VALUE"""),804646.0)</f>
        <v>804646</v>
      </c>
      <c r="B4913" s="2">
        <f>IFERROR(__xludf.DUMMYFUNCTION("""COMPUTED_VALUE"""),42756.24752541619)</f>
        <v>42756.24753</v>
      </c>
      <c r="C4913" s="1" t="str">
        <f>IFERROR(__xludf.DUMMYFUNCTION("""COMPUTED_VALUE"""),"control")</f>
        <v>control</v>
      </c>
      <c r="D4913" s="1" t="str">
        <f>IFERROR(__xludf.DUMMYFUNCTION("""COMPUTED_VALUE"""),"old_page")</f>
        <v>old_page</v>
      </c>
      <c r="E4913" s="1">
        <f>IFERROR(__xludf.DUMMYFUNCTION("""COMPUTED_VALUE"""),0.0)</f>
        <v>0</v>
      </c>
    </row>
    <row r="4914">
      <c r="A4914" s="1">
        <f>IFERROR(__xludf.DUMMYFUNCTION("""COMPUTED_VALUE"""),710747.0)</f>
        <v>710747</v>
      </c>
      <c r="B4914" s="2">
        <f>IFERROR(__xludf.DUMMYFUNCTION("""COMPUTED_VALUE"""),42749.29955360212)</f>
        <v>42749.29955</v>
      </c>
      <c r="C4914" s="1" t="str">
        <f>IFERROR(__xludf.DUMMYFUNCTION("""COMPUTED_VALUE"""),"treatment")</f>
        <v>treatment</v>
      </c>
      <c r="D4914" s="1" t="str">
        <f>IFERROR(__xludf.DUMMYFUNCTION("""COMPUTED_VALUE"""),"new_page")</f>
        <v>new_page</v>
      </c>
      <c r="E4914" s="1">
        <f>IFERROR(__xludf.DUMMYFUNCTION("""COMPUTED_VALUE"""),0.0)</f>
        <v>0</v>
      </c>
    </row>
    <row r="4915">
      <c r="A4915" s="1">
        <f>IFERROR(__xludf.DUMMYFUNCTION("""COMPUTED_VALUE"""),752662.0)</f>
        <v>752662</v>
      </c>
      <c r="B4915" s="2">
        <f>IFERROR(__xludf.DUMMYFUNCTION("""COMPUTED_VALUE"""),42743.75619209021)</f>
        <v>42743.75619</v>
      </c>
      <c r="C4915" s="1" t="str">
        <f>IFERROR(__xludf.DUMMYFUNCTION("""COMPUTED_VALUE"""),"treatment")</f>
        <v>treatment</v>
      </c>
      <c r="D4915" s="1" t="str">
        <f>IFERROR(__xludf.DUMMYFUNCTION("""COMPUTED_VALUE"""),"new_page")</f>
        <v>new_page</v>
      </c>
      <c r="E4915" s="1">
        <f>IFERROR(__xludf.DUMMYFUNCTION("""COMPUTED_VALUE"""),0.0)</f>
        <v>0</v>
      </c>
    </row>
    <row r="4916">
      <c r="A4916" s="1">
        <f>IFERROR(__xludf.DUMMYFUNCTION("""COMPUTED_VALUE"""),842109.0)</f>
        <v>842109</v>
      </c>
      <c r="B4916" s="2">
        <f>IFERROR(__xludf.DUMMYFUNCTION("""COMPUTED_VALUE"""),42754.23858979456)</f>
        <v>42754.23859</v>
      </c>
      <c r="C4916" s="1" t="str">
        <f>IFERROR(__xludf.DUMMYFUNCTION("""COMPUTED_VALUE"""),"control")</f>
        <v>control</v>
      </c>
      <c r="D4916" s="1" t="str">
        <f>IFERROR(__xludf.DUMMYFUNCTION("""COMPUTED_VALUE"""),"old_page")</f>
        <v>old_page</v>
      </c>
      <c r="E4916" s="1">
        <f>IFERROR(__xludf.DUMMYFUNCTION("""COMPUTED_VALUE"""),0.0)</f>
        <v>0</v>
      </c>
    </row>
    <row r="4917">
      <c r="A4917" s="1">
        <f>IFERROR(__xludf.DUMMYFUNCTION("""COMPUTED_VALUE"""),841708.0)</f>
        <v>841708</v>
      </c>
      <c r="B4917" s="2">
        <f>IFERROR(__xludf.DUMMYFUNCTION("""COMPUTED_VALUE"""),42754.485198378345)</f>
        <v>42754.4852</v>
      </c>
      <c r="C4917" s="1" t="str">
        <f>IFERROR(__xludf.DUMMYFUNCTION("""COMPUTED_VALUE"""),"treatment")</f>
        <v>treatment</v>
      </c>
      <c r="D4917" s="1" t="str">
        <f>IFERROR(__xludf.DUMMYFUNCTION("""COMPUTED_VALUE"""),"new_page")</f>
        <v>new_page</v>
      </c>
      <c r="E4917" s="1">
        <f>IFERROR(__xludf.DUMMYFUNCTION("""COMPUTED_VALUE"""),0.0)</f>
        <v>0</v>
      </c>
    </row>
    <row r="4918">
      <c r="A4918" s="1">
        <f>IFERROR(__xludf.DUMMYFUNCTION("""COMPUTED_VALUE"""),864840.0)</f>
        <v>864840</v>
      </c>
      <c r="B4918" s="2">
        <f>IFERROR(__xludf.DUMMYFUNCTION("""COMPUTED_VALUE"""),42743.20895747897)</f>
        <v>42743.20896</v>
      </c>
      <c r="C4918" s="1" t="str">
        <f>IFERROR(__xludf.DUMMYFUNCTION("""COMPUTED_VALUE"""),"control")</f>
        <v>control</v>
      </c>
      <c r="D4918" s="1" t="str">
        <f>IFERROR(__xludf.DUMMYFUNCTION("""COMPUTED_VALUE"""),"old_page")</f>
        <v>old_page</v>
      </c>
      <c r="E4918" s="1">
        <f>IFERROR(__xludf.DUMMYFUNCTION("""COMPUTED_VALUE"""),0.0)</f>
        <v>0</v>
      </c>
    </row>
    <row r="4919">
      <c r="A4919" s="1">
        <f>IFERROR(__xludf.DUMMYFUNCTION("""COMPUTED_VALUE"""),904269.0)</f>
        <v>904269</v>
      </c>
      <c r="B4919" s="2">
        <f>IFERROR(__xludf.DUMMYFUNCTION("""COMPUTED_VALUE"""),42750.887906916796)</f>
        <v>42750.88791</v>
      </c>
      <c r="C4919" s="1" t="str">
        <f>IFERROR(__xludf.DUMMYFUNCTION("""COMPUTED_VALUE"""),"treatment")</f>
        <v>treatment</v>
      </c>
      <c r="D4919" s="1" t="str">
        <f>IFERROR(__xludf.DUMMYFUNCTION("""COMPUTED_VALUE"""),"new_page")</f>
        <v>new_page</v>
      </c>
      <c r="E4919" s="1">
        <f>IFERROR(__xludf.DUMMYFUNCTION("""COMPUTED_VALUE"""),0.0)</f>
        <v>0</v>
      </c>
    </row>
    <row r="4920">
      <c r="A4920" s="1">
        <f>IFERROR(__xludf.DUMMYFUNCTION("""COMPUTED_VALUE"""),910253.0)</f>
        <v>910253</v>
      </c>
      <c r="B4920" s="2">
        <f>IFERROR(__xludf.DUMMYFUNCTION("""COMPUTED_VALUE"""),42746.624399594955)</f>
        <v>42746.6244</v>
      </c>
      <c r="C4920" s="1" t="str">
        <f>IFERROR(__xludf.DUMMYFUNCTION("""COMPUTED_VALUE"""),"control")</f>
        <v>control</v>
      </c>
      <c r="D4920" s="1" t="str">
        <f>IFERROR(__xludf.DUMMYFUNCTION("""COMPUTED_VALUE"""),"old_page")</f>
        <v>old_page</v>
      </c>
      <c r="E4920" s="1">
        <f>IFERROR(__xludf.DUMMYFUNCTION("""COMPUTED_VALUE"""),0.0)</f>
        <v>0</v>
      </c>
    </row>
    <row r="4921">
      <c r="A4921" s="1">
        <f>IFERROR(__xludf.DUMMYFUNCTION("""COMPUTED_VALUE"""),873368.0)</f>
        <v>873368</v>
      </c>
      <c r="B4921" s="2">
        <f>IFERROR(__xludf.DUMMYFUNCTION("""COMPUTED_VALUE"""),42753.85201518859)</f>
        <v>42753.85202</v>
      </c>
      <c r="C4921" s="1" t="str">
        <f>IFERROR(__xludf.DUMMYFUNCTION("""COMPUTED_VALUE"""),"control")</f>
        <v>control</v>
      </c>
      <c r="D4921" s="1" t="str">
        <f>IFERROR(__xludf.DUMMYFUNCTION("""COMPUTED_VALUE"""),"old_page")</f>
        <v>old_page</v>
      </c>
      <c r="E4921" s="1">
        <f>IFERROR(__xludf.DUMMYFUNCTION("""COMPUTED_VALUE"""),0.0)</f>
        <v>0</v>
      </c>
    </row>
    <row r="4922">
      <c r="A4922" s="1">
        <f>IFERROR(__xludf.DUMMYFUNCTION("""COMPUTED_VALUE"""),851620.0)</f>
        <v>851620</v>
      </c>
      <c r="B4922" s="2">
        <f>IFERROR(__xludf.DUMMYFUNCTION("""COMPUTED_VALUE"""),42742.135541461146)</f>
        <v>42742.13554</v>
      </c>
      <c r="C4922" s="1" t="str">
        <f>IFERROR(__xludf.DUMMYFUNCTION("""COMPUTED_VALUE"""),"control")</f>
        <v>control</v>
      </c>
      <c r="D4922" s="1" t="str">
        <f>IFERROR(__xludf.DUMMYFUNCTION("""COMPUTED_VALUE"""),"old_page")</f>
        <v>old_page</v>
      </c>
      <c r="E4922" s="1">
        <f>IFERROR(__xludf.DUMMYFUNCTION("""COMPUTED_VALUE"""),0.0)</f>
        <v>0</v>
      </c>
    </row>
    <row r="4923">
      <c r="A4923" s="1">
        <f>IFERROR(__xludf.DUMMYFUNCTION("""COMPUTED_VALUE"""),771824.0)</f>
        <v>771824</v>
      </c>
      <c r="B4923" s="2">
        <f>IFERROR(__xludf.DUMMYFUNCTION("""COMPUTED_VALUE"""),42758.88886789067)</f>
        <v>42758.88887</v>
      </c>
      <c r="C4923" s="1" t="str">
        <f>IFERROR(__xludf.DUMMYFUNCTION("""COMPUTED_VALUE"""),"treatment")</f>
        <v>treatment</v>
      </c>
      <c r="D4923" s="1" t="str">
        <f>IFERROR(__xludf.DUMMYFUNCTION("""COMPUTED_VALUE"""),"new_page")</f>
        <v>new_page</v>
      </c>
      <c r="E4923" s="1">
        <f>IFERROR(__xludf.DUMMYFUNCTION("""COMPUTED_VALUE"""),0.0)</f>
        <v>0</v>
      </c>
    </row>
    <row r="4924">
      <c r="A4924" s="1">
        <f>IFERROR(__xludf.DUMMYFUNCTION("""COMPUTED_VALUE"""),890349.0)</f>
        <v>890349</v>
      </c>
      <c r="B4924" s="2">
        <f>IFERROR(__xludf.DUMMYFUNCTION("""COMPUTED_VALUE"""),42748.081606319654)</f>
        <v>42748.08161</v>
      </c>
      <c r="C4924" s="1" t="str">
        <f>IFERROR(__xludf.DUMMYFUNCTION("""COMPUTED_VALUE"""),"treatment")</f>
        <v>treatment</v>
      </c>
      <c r="D4924" s="1" t="str">
        <f>IFERROR(__xludf.DUMMYFUNCTION("""COMPUTED_VALUE"""),"new_page")</f>
        <v>new_page</v>
      </c>
      <c r="E4924" s="1">
        <f>IFERROR(__xludf.DUMMYFUNCTION("""COMPUTED_VALUE"""),0.0)</f>
        <v>0</v>
      </c>
    </row>
    <row r="4925">
      <c r="A4925" s="1">
        <f>IFERROR(__xludf.DUMMYFUNCTION("""COMPUTED_VALUE"""),644596.0)</f>
        <v>644596</v>
      </c>
      <c r="B4925" s="2">
        <f>IFERROR(__xludf.DUMMYFUNCTION("""COMPUTED_VALUE"""),42749.96899083692)</f>
        <v>42749.96899</v>
      </c>
      <c r="C4925" s="1" t="str">
        <f>IFERROR(__xludf.DUMMYFUNCTION("""COMPUTED_VALUE"""),"treatment")</f>
        <v>treatment</v>
      </c>
      <c r="D4925" s="1" t="str">
        <f>IFERROR(__xludf.DUMMYFUNCTION("""COMPUTED_VALUE"""),"new_page")</f>
        <v>new_page</v>
      </c>
      <c r="E4925" s="1">
        <f>IFERROR(__xludf.DUMMYFUNCTION("""COMPUTED_VALUE"""),0.0)</f>
        <v>0</v>
      </c>
    </row>
    <row r="4926">
      <c r="A4926" s="1">
        <f>IFERROR(__xludf.DUMMYFUNCTION("""COMPUTED_VALUE"""),720747.0)</f>
        <v>720747</v>
      </c>
      <c r="B4926" s="2">
        <f>IFERROR(__xludf.DUMMYFUNCTION("""COMPUTED_VALUE"""),42746.963815920084)</f>
        <v>42746.96382</v>
      </c>
      <c r="C4926" s="1" t="str">
        <f>IFERROR(__xludf.DUMMYFUNCTION("""COMPUTED_VALUE"""),"control")</f>
        <v>control</v>
      </c>
      <c r="D4926" s="1" t="str">
        <f>IFERROR(__xludf.DUMMYFUNCTION("""COMPUTED_VALUE"""),"old_page")</f>
        <v>old_page</v>
      </c>
      <c r="E4926" s="1">
        <f>IFERROR(__xludf.DUMMYFUNCTION("""COMPUTED_VALUE"""),0.0)</f>
        <v>0</v>
      </c>
    </row>
    <row r="4927">
      <c r="A4927" s="1">
        <f>IFERROR(__xludf.DUMMYFUNCTION("""COMPUTED_VALUE"""),769239.0)</f>
        <v>769239</v>
      </c>
      <c r="B4927" s="2">
        <f>IFERROR(__xludf.DUMMYFUNCTION("""COMPUTED_VALUE"""),42757.014523340345)</f>
        <v>42757.01452</v>
      </c>
      <c r="C4927" s="1" t="str">
        <f>IFERROR(__xludf.DUMMYFUNCTION("""COMPUTED_VALUE"""),"control")</f>
        <v>control</v>
      </c>
      <c r="D4927" s="1" t="str">
        <f>IFERROR(__xludf.DUMMYFUNCTION("""COMPUTED_VALUE"""),"old_page")</f>
        <v>old_page</v>
      </c>
      <c r="E4927" s="1">
        <f>IFERROR(__xludf.DUMMYFUNCTION("""COMPUTED_VALUE"""),0.0)</f>
        <v>0</v>
      </c>
    </row>
    <row r="4928">
      <c r="A4928" s="1">
        <f>IFERROR(__xludf.DUMMYFUNCTION("""COMPUTED_VALUE"""),896433.0)</f>
        <v>896433</v>
      </c>
      <c r="B4928" s="2">
        <f>IFERROR(__xludf.DUMMYFUNCTION("""COMPUTED_VALUE"""),42746.85872758863)</f>
        <v>42746.85873</v>
      </c>
      <c r="C4928" s="1" t="str">
        <f>IFERROR(__xludf.DUMMYFUNCTION("""COMPUTED_VALUE"""),"treatment")</f>
        <v>treatment</v>
      </c>
      <c r="D4928" s="1" t="str">
        <f>IFERROR(__xludf.DUMMYFUNCTION("""COMPUTED_VALUE"""),"new_page")</f>
        <v>new_page</v>
      </c>
      <c r="E4928" s="1">
        <f>IFERROR(__xludf.DUMMYFUNCTION("""COMPUTED_VALUE"""),0.0)</f>
        <v>0</v>
      </c>
    </row>
    <row r="4929">
      <c r="A4929" s="1">
        <f>IFERROR(__xludf.DUMMYFUNCTION("""COMPUTED_VALUE"""),874191.0)</f>
        <v>874191</v>
      </c>
      <c r="B4929" s="2">
        <f>IFERROR(__xludf.DUMMYFUNCTION("""COMPUTED_VALUE"""),42751.438148770045)</f>
        <v>42751.43815</v>
      </c>
      <c r="C4929" s="1" t="str">
        <f>IFERROR(__xludf.DUMMYFUNCTION("""COMPUTED_VALUE"""),"treatment")</f>
        <v>treatment</v>
      </c>
      <c r="D4929" s="1" t="str">
        <f>IFERROR(__xludf.DUMMYFUNCTION("""COMPUTED_VALUE"""),"new_page")</f>
        <v>new_page</v>
      </c>
      <c r="E4929" s="1">
        <f>IFERROR(__xludf.DUMMYFUNCTION("""COMPUTED_VALUE"""),1.0)</f>
        <v>1</v>
      </c>
    </row>
    <row r="4930">
      <c r="A4930" s="1">
        <f>IFERROR(__xludf.DUMMYFUNCTION("""COMPUTED_VALUE"""),846486.0)</f>
        <v>846486</v>
      </c>
      <c r="B4930" s="2">
        <f>IFERROR(__xludf.DUMMYFUNCTION("""COMPUTED_VALUE"""),42742.590756550635)</f>
        <v>42742.59076</v>
      </c>
      <c r="C4930" s="1" t="str">
        <f>IFERROR(__xludf.DUMMYFUNCTION("""COMPUTED_VALUE"""),"treatment")</f>
        <v>treatment</v>
      </c>
      <c r="D4930" s="1" t="str">
        <f>IFERROR(__xludf.DUMMYFUNCTION("""COMPUTED_VALUE"""),"new_page")</f>
        <v>new_page</v>
      </c>
      <c r="E4930" s="1">
        <f>IFERROR(__xludf.DUMMYFUNCTION("""COMPUTED_VALUE"""),0.0)</f>
        <v>0</v>
      </c>
    </row>
    <row r="4931">
      <c r="A4931" s="1">
        <f>IFERROR(__xludf.DUMMYFUNCTION("""COMPUTED_VALUE"""),712439.0)</f>
        <v>712439</v>
      </c>
      <c r="B4931" s="2">
        <f>IFERROR(__xludf.DUMMYFUNCTION("""COMPUTED_VALUE"""),42756.16541396817)</f>
        <v>42756.16541</v>
      </c>
      <c r="C4931" s="1" t="str">
        <f>IFERROR(__xludf.DUMMYFUNCTION("""COMPUTED_VALUE"""),"treatment")</f>
        <v>treatment</v>
      </c>
      <c r="D4931" s="1" t="str">
        <f>IFERROR(__xludf.DUMMYFUNCTION("""COMPUTED_VALUE"""),"new_page")</f>
        <v>new_page</v>
      </c>
      <c r="E4931" s="1">
        <f>IFERROR(__xludf.DUMMYFUNCTION("""COMPUTED_VALUE"""),0.0)</f>
        <v>0</v>
      </c>
    </row>
    <row r="4932">
      <c r="A4932" s="1">
        <f>IFERROR(__xludf.DUMMYFUNCTION("""COMPUTED_VALUE"""),779930.0)</f>
        <v>779930</v>
      </c>
      <c r="B4932" s="2">
        <f>IFERROR(__xludf.DUMMYFUNCTION("""COMPUTED_VALUE"""),42740.345304661016)</f>
        <v>42740.3453</v>
      </c>
      <c r="C4932" s="1" t="str">
        <f>IFERROR(__xludf.DUMMYFUNCTION("""COMPUTED_VALUE"""),"control")</f>
        <v>control</v>
      </c>
      <c r="D4932" s="1" t="str">
        <f>IFERROR(__xludf.DUMMYFUNCTION("""COMPUTED_VALUE"""),"old_page")</f>
        <v>old_page</v>
      </c>
      <c r="E4932" s="1">
        <f>IFERROR(__xludf.DUMMYFUNCTION("""COMPUTED_VALUE"""),0.0)</f>
        <v>0</v>
      </c>
    </row>
    <row r="4933">
      <c r="A4933" s="1">
        <f>IFERROR(__xludf.DUMMYFUNCTION("""COMPUTED_VALUE"""),850258.0)</f>
        <v>850258</v>
      </c>
      <c r="B4933" s="2">
        <f>IFERROR(__xludf.DUMMYFUNCTION("""COMPUTED_VALUE"""),42739.27153291894)</f>
        <v>42739.27153</v>
      </c>
      <c r="C4933" s="1" t="str">
        <f>IFERROR(__xludf.DUMMYFUNCTION("""COMPUTED_VALUE"""),"control")</f>
        <v>control</v>
      </c>
      <c r="D4933" s="1" t="str">
        <f>IFERROR(__xludf.DUMMYFUNCTION("""COMPUTED_VALUE"""),"old_page")</f>
        <v>old_page</v>
      </c>
      <c r="E4933" s="1">
        <f>IFERROR(__xludf.DUMMYFUNCTION("""COMPUTED_VALUE"""),0.0)</f>
        <v>0</v>
      </c>
    </row>
    <row r="4934">
      <c r="A4934" s="1">
        <f>IFERROR(__xludf.DUMMYFUNCTION("""COMPUTED_VALUE"""),658291.0)</f>
        <v>658291</v>
      </c>
      <c r="B4934" s="2">
        <f>IFERROR(__xludf.DUMMYFUNCTION("""COMPUTED_VALUE"""),42755.76539235074)</f>
        <v>42755.76539</v>
      </c>
      <c r="C4934" s="1" t="str">
        <f>IFERROR(__xludf.DUMMYFUNCTION("""COMPUTED_VALUE"""),"control")</f>
        <v>control</v>
      </c>
      <c r="D4934" s="1" t="str">
        <f>IFERROR(__xludf.DUMMYFUNCTION("""COMPUTED_VALUE"""),"old_page")</f>
        <v>old_page</v>
      </c>
      <c r="E4934" s="1">
        <f>IFERROR(__xludf.DUMMYFUNCTION("""COMPUTED_VALUE"""),0.0)</f>
        <v>0</v>
      </c>
    </row>
    <row r="4935">
      <c r="A4935" s="1">
        <f>IFERROR(__xludf.DUMMYFUNCTION("""COMPUTED_VALUE"""),945691.0)</f>
        <v>945691</v>
      </c>
      <c r="B4935" s="2">
        <f>IFERROR(__xludf.DUMMYFUNCTION("""COMPUTED_VALUE"""),42747.79081171312)</f>
        <v>42747.79081</v>
      </c>
      <c r="C4935" s="1" t="str">
        <f>IFERROR(__xludf.DUMMYFUNCTION("""COMPUTED_VALUE"""),"treatment")</f>
        <v>treatment</v>
      </c>
      <c r="D4935" s="1" t="str">
        <f>IFERROR(__xludf.DUMMYFUNCTION("""COMPUTED_VALUE"""),"new_page")</f>
        <v>new_page</v>
      </c>
      <c r="E4935" s="1">
        <f>IFERROR(__xludf.DUMMYFUNCTION("""COMPUTED_VALUE"""),0.0)</f>
        <v>0</v>
      </c>
    </row>
    <row r="4936">
      <c r="A4936" s="1">
        <f>IFERROR(__xludf.DUMMYFUNCTION("""COMPUTED_VALUE"""),748151.0)</f>
        <v>748151</v>
      </c>
      <c r="B4936" s="2">
        <f>IFERROR(__xludf.DUMMYFUNCTION("""COMPUTED_VALUE"""),42737.81831333567)</f>
        <v>42737.81831</v>
      </c>
      <c r="C4936" s="1" t="str">
        <f>IFERROR(__xludf.DUMMYFUNCTION("""COMPUTED_VALUE"""),"control")</f>
        <v>control</v>
      </c>
      <c r="D4936" s="1" t="str">
        <f>IFERROR(__xludf.DUMMYFUNCTION("""COMPUTED_VALUE"""),"old_page")</f>
        <v>old_page</v>
      </c>
      <c r="E4936" s="1">
        <f>IFERROR(__xludf.DUMMYFUNCTION("""COMPUTED_VALUE"""),0.0)</f>
        <v>0</v>
      </c>
    </row>
    <row r="4937">
      <c r="A4937" s="1">
        <f>IFERROR(__xludf.DUMMYFUNCTION("""COMPUTED_VALUE"""),879331.0)</f>
        <v>879331</v>
      </c>
      <c r="B4937" s="2">
        <f>IFERROR(__xludf.DUMMYFUNCTION("""COMPUTED_VALUE"""),42740.98735284059)</f>
        <v>42740.98735</v>
      </c>
      <c r="C4937" s="1" t="str">
        <f>IFERROR(__xludf.DUMMYFUNCTION("""COMPUTED_VALUE"""),"treatment")</f>
        <v>treatment</v>
      </c>
      <c r="D4937" s="1" t="str">
        <f>IFERROR(__xludf.DUMMYFUNCTION("""COMPUTED_VALUE"""),"new_page")</f>
        <v>new_page</v>
      </c>
      <c r="E4937" s="1">
        <f>IFERROR(__xludf.DUMMYFUNCTION("""COMPUTED_VALUE"""),0.0)</f>
        <v>0</v>
      </c>
    </row>
    <row r="4938">
      <c r="A4938" s="1">
        <f>IFERROR(__xludf.DUMMYFUNCTION("""COMPUTED_VALUE"""),671737.0)</f>
        <v>671737</v>
      </c>
      <c r="B4938" s="2">
        <f>IFERROR(__xludf.DUMMYFUNCTION("""COMPUTED_VALUE"""),42754.05568913796)</f>
        <v>42754.05569</v>
      </c>
      <c r="C4938" s="1" t="str">
        <f>IFERROR(__xludf.DUMMYFUNCTION("""COMPUTED_VALUE"""),"control")</f>
        <v>control</v>
      </c>
      <c r="D4938" s="1" t="str">
        <f>IFERROR(__xludf.DUMMYFUNCTION("""COMPUTED_VALUE"""),"old_page")</f>
        <v>old_page</v>
      </c>
      <c r="E4938" s="1">
        <f>IFERROR(__xludf.DUMMYFUNCTION("""COMPUTED_VALUE"""),1.0)</f>
        <v>1</v>
      </c>
    </row>
    <row r="4939">
      <c r="A4939" s="1">
        <f>IFERROR(__xludf.DUMMYFUNCTION("""COMPUTED_VALUE"""),679040.0)</f>
        <v>679040</v>
      </c>
      <c r="B4939" s="2">
        <f>IFERROR(__xludf.DUMMYFUNCTION("""COMPUTED_VALUE"""),42743.48082865889)</f>
        <v>42743.48083</v>
      </c>
      <c r="C4939" s="1" t="str">
        <f>IFERROR(__xludf.DUMMYFUNCTION("""COMPUTED_VALUE"""),"control")</f>
        <v>control</v>
      </c>
      <c r="D4939" s="1" t="str">
        <f>IFERROR(__xludf.DUMMYFUNCTION("""COMPUTED_VALUE"""),"old_page")</f>
        <v>old_page</v>
      </c>
      <c r="E4939" s="1">
        <f>IFERROR(__xludf.DUMMYFUNCTION("""COMPUTED_VALUE"""),0.0)</f>
        <v>0</v>
      </c>
    </row>
    <row r="4940">
      <c r="A4940" s="1">
        <f>IFERROR(__xludf.DUMMYFUNCTION("""COMPUTED_VALUE"""),755902.0)</f>
        <v>755902</v>
      </c>
      <c r="B4940" s="2">
        <f>IFERROR(__xludf.DUMMYFUNCTION("""COMPUTED_VALUE"""),42739.42900744514)</f>
        <v>42739.42901</v>
      </c>
      <c r="C4940" s="1" t="str">
        <f>IFERROR(__xludf.DUMMYFUNCTION("""COMPUTED_VALUE"""),"control")</f>
        <v>control</v>
      </c>
      <c r="D4940" s="1" t="str">
        <f>IFERROR(__xludf.DUMMYFUNCTION("""COMPUTED_VALUE"""),"old_page")</f>
        <v>old_page</v>
      </c>
      <c r="E4940" s="1">
        <f>IFERROR(__xludf.DUMMYFUNCTION("""COMPUTED_VALUE"""),0.0)</f>
        <v>0</v>
      </c>
    </row>
    <row r="4941">
      <c r="A4941" s="1">
        <f>IFERROR(__xludf.DUMMYFUNCTION("""COMPUTED_VALUE"""),922194.0)</f>
        <v>922194</v>
      </c>
      <c r="B4941" s="2">
        <f>IFERROR(__xludf.DUMMYFUNCTION("""COMPUTED_VALUE"""),42756.90406878751)</f>
        <v>42756.90407</v>
      </c>
      <c r="C4941" s="1" t="str">
        <f>IFERROR(__xludf.DUMMYFUNCTION("""COMPUTED_VALUE"""),"control")</f>
        <v>control</v>
      </c>
      <c r="D4941" s="1" t="str">
        <f>IFERROR(__xludf.DUMMYFUNCTION("""COMPUTED_VALUE"""),"old_page")</f>
        <v>old_page</v>
      </c>
      <c r="E4941" s="1">
        <f>IFERROR(__xludf.DUMMYFUNCTION("""COMPUTED_VALUE"""),1.0)</f>
        <v>1</v>
      </c>
    </row>
    <row r="4942">
      <c r="A4942" s="1">
        <f>IFERROR(__xludf.DUMMYFUNCTION("""COMPUTED_VALUE"""),777967.0)</f>
        <v>777967</v>
      </c>
      <c r="B4942" s="2">
        <f>IFERROR(__xludf.DUMMYFUNCTION("""COMPUTED_VALUE"""),42746.765011762975)</f>
        <v>42746.76501</v>
      </c>
      <c r="C4942" s="1" t="str">
        <f>IFERROR(__xludf.DUMMYFUNCTION("""COMPUTED_VALUE"""),"treatment")</f>
        <v>treatment</v>
      </c>
      <c r="D4942" s="1" t="str">
        <f>IFERROR(__xludf.DUMMYFUNCTION("""COMPUTED_VALUE"""),"new_page")</f>
        <v>new_page</v>
      </c>
      <c r="E4942" s="1">
        <f>IFERROR(__xludf.DUMMYFUNCTION("""COMPUTED_VALUE"""),0.0)</f>
        <v>0</v>
      </c>
    </row>
    <row r="4943">
      <c r="A4943" s="1">
        <f>IFERROR(__xludf.DUMMYFUNCTION("""COMPUTED_VALUE"""),937900.0)</f>
        <v>937900</v>
      </c>
      <c r="B4943" s="2">
        <f>IFERROR(__xludf.DUMMYFUNCTION("""COMPUTED_VALUE"""),42757.350579600534)</f>
        <v>42757.35058</v>
      </c>
      <c r="C4943" s="1" t="str">
        <f>IFERROR(__xludf.DUMMYFUNCTION("""COMPUTED_VALUE"""),"treatment")</f>
        <v>treatment</v>
      </c>
      <c r="D4943" s="1" t="str">
        <f>IFERROR(__xludf.DUMMYFUNCTION("""COMPUTED_VALUE"""),"new_page")</f>
        <v>new_page</v>
      </c>
      <c r="E4943" s="1">
        <f>IFERROR(__xludf.DUMMYFUNCTION("""COMPUTED_VALUE"""),0.0)</f>
        <v>0</v>
      </c>
    </row>
    <row r="4944">
      <c r="A4944" s="1">
        <f>IFERROR(__xludf.DUMMYFUNCTION("""COMPUTED_VALUE"""),735692.0)</f>
        <v>735692</v>
      </c>
      <c r="B4944" s="2">
        <f>IFERROR(__xludf.DUMMYFUNCTION("""COMPUTED_VALUE"""),42749.36775233817)</f>
        <v>42749.36775</v>
      </c>
      <c r="C4944" s="1" t="str">
        <f>IFERROR(__xludf.DUMMYFUNCTION("""COMPUTED_VALUE"""),"treatment")</f>
        <v>treatment</v>
      </c>
      <c r="D4944" s="1" t="str">
        <f>IFERROR(__xludf.DUMMYFUNCTION("""COMPUTED_VALUE"""),"new_page")</f>
        <v>new_page</v>
      </c>
      <c r="E4944" s="1">
        <f>IFERROR(__xludf.DUMMYFUNCTION("""COMPUTED_VALUE"""),1.0)</f>
        <v>1</v>
      </c>
    </row>
    <row r="4945">
      <c r="A4945" s="1">
        <f>IFERROR(__xludf.DUMMYFUNCTION("""COMPUTED_VALUE"""),735356.0)</f>
        <v>735356</v>
      </c>
      <c r="B4945" s="2">
        <f>IFERROR(__xludf.DUMMYFUNCTION("""COMPUTED_VALUE"""),42751.0264218025)</f>
        <v>42751.02642</v>
      </c>
      <c r="C4945" s="1" t="str">
        <f>IFERROR(__xludf.DUMMYFUNCTION("""COMPUTED_VALUE"""),"control")</f>
        <v>control</v>
      </c>
      <c r="D4945" s="1" t="str">
        <f>IFERROR(__xludf.DUMMYFUNCTION("""COMPUTED_VALUE"""),"old_page")</f>
        <v>old_page</v>
      </c>
      <c r="E4945" s="1">
        <f>IFERROR(__xludf.DUMMYFUNCTION("""COMPUTED_VALUE"""),0.0)</f>
        <v>0</v>
      </c>
    </row>
    <row r="4946">
      <c r="A4946" s="1">
        <f>IFERROR(__xludf.DUMMYFUNCTION("""COMPUTED_VALUE"""),740762.0)</f>
        <v>740762</v>
      </c>
      <c r="B4946" s="2">
        <f>IFERROR(__xludf.DUMMYFUNCTION("""COMPUTED_VALUE"""),42748.274907793355)</f>
        <v>42748.27491</v>
      </c>
      <c r="C4946" s="1" t="str">
        <f>IFERROR(__xludf.DUMMYFUNCTION("""COMPUTED_VALUE"""),"treatment")</f>
        <v>treatment</v>
      </c>
      <c r="D4946" s="1" t="str">
        <f>IFERROR(__xludf.DUMMYFUNCTION("""COMPUTED_VALUE"""),"new_page")</f>
        <v>new_page</v>
      </c>
      <c r="E4946" s="1">
        <f>IFERROR(__xludf.DUMMYFUNCTION("""COMPUTED_VALUE"""),0.0)</f>
        <v>0</v>
      </c>
    </row>
    <row r="4947">
      <c r="A4947" s="1">
        <f>IFERROR(__xludf.DUMMYFUNCTION("""COMPUTED_VALUE"""),801612.0)</f>
        <v>801612</v>
      </c>
      <c r="B4947" s="2">
        <f>IFERROR(__xludf.DUMMYFUNCTION("""COMPUTED_VALUE"""),42757.00183304564)</f>
        <v>42757.00183</v>
      </c>
      <c r="C4947" s="1" t="str">
        <f>IFERROR(__xludf.DUMMYFUNCTION("""COMPUTED_VALUE"""),"treatment")</f>
        <v>treatment</v>
      </c>
      <c r="D4947" s="1" t="str">
        <f>IFERROR(__xludf.DUMMYFUNCTION("""COMPUTED_VALUE"""),"new_page")</f>
        <v>new_page</v>
      </c>
      <c r="E4947" s="1">
        <f>IFERROR(__xludf.DUMMYFUNCTION("""COMPUTED_VALUE"""),0.0)</f>
        <v>0</v>
      </c>
    </row>
    <row r="4948">
      <c r="A4948" s="1">
        <f>IFERROR(__xludf.DUMMYFUNCTION("""COMPUTED_VALUE"""),672074.0)</f>
        <v>672074</v>
      </c>
      <c r="B4948" s="2">
        <f>IFERROR(__xludf.DUMMYFUNCTION("""COMPUTED_VALUE"""),42750.20838817455)</f>
        <v>42750.20839</v>
      </c>
      <c r="C4948" s="1" t="str">
        <f>IFERROR(__xludf.DUMMYFUNCTION("""COMPUTED_VALUE"""),"treatment")</f>
        <v>treatment</v>
      </c>
      <c r="D4948" s="1" t="str">
        <f>IFERROR(__xludf.DUMMYFUNCTION("""COMPUTED_VALUE"""),"new_page")</f>
        <v>new_page</v>
      </c>
      <c r="E4948" s="1">
        <f>IFERROR(__xludf.DUMMYFUNCTION("""COMPUTED_VALUE"""),0.0)</f>
        <v>0</v>
      </c>
    </row>
    <row r="4949">
      <c r="A4949" s="1">
        <f>IFERROR(__xludf.DUMMYFUNCTION("""COMPUTED_VALUE"""),691892.0)</f>
        <v>691892</v>
      </c>
      <c r="B4949" s="2">
        <f>IFERROR(__xludf.DUMMYFUNCTION("""COMPUTED_VALUE"""),42750.779987845184)</f>
        <v>42750.77999</v>
      </c>
      <c r="C4949" s="1" t="str">
        <f>IFERROR(__xludf.DUMMYFUNCTION("""COMPUTED_VALUE"""),"treatment")</f>
        <v>treatment</v>
      </c>
      <c r="D4949" s="1" t="str">
        <f>IFERROR(__xludf.DUMMYFUNCTION("""COMPUTED_VALUE"""),"new_page")</f>
        <v>new_page</v>
      </c>
      <c r="E4949" s="1">
        <f>IFERROR(__xludf.DUMMYFUNCTION("""COMPUTED_VALUE"""),0.0)</f>
        <v>0</v>
      </c>
    </row>
    <row r="4950">
      <c r="A4950" s="1">
        <f>IFERROR(__xludf.DUMMYFUNCTION("""COMPUTED_VALUE"""),709537.0)</f>
        <v>709537</v>
      </c>
      <c r="B4950" s="2">
        <f>IFERROR(__xludf.DUMMYFUNCTION("""COMPUTED_VALUE"""),42744.41430700215)</f>
        <v>42744.41431</v>
      </c>
      <c r="C4950" s="1" t="str">
        <f>IFERROR(__xludf.DUMMYFUNCTION("""COMPUTED_VALUE"""),"treatment")</f>
        <v>treatment</v>
      </c>
      <c r="D4950" s="1" t="str">
        <f>IFERROR(__xludf.DUMMYFUNCTION("""COMPUTED_VALUE"""),"new_page")</f>
        <v>new_page</v>
      </c>
      <c r="E4950" s="1">
        <f>IFERROR(__xludf.DUMMYFUNCTION("""COMPUTED_VALUE"""),0.0)</f>
        <v>0</v>
      </c>
    </row>
    <row r="4951">
      <c r="A4951" s="1">
        <f>IFERROR(__xludf.DUMMYFUNCTION("""COMPUTED_VALUE"""),871835.0)</f>
        <v>871835</v>
      </c>
      <c r="B4951" s="2">
        <f>IFERROR(__xludf.DUMMYFUNCTION("""COMPUTED_VALUE"""),42739.80644987354)</f>
        <v>42739.80645</v>
      </c>
      <c r="C4951" s="1" t="str">
        <f>IFERROR(__xludf.DUMMYFUNCTION("""COMPUTED_VALUE"""),"control")</f>
        <v>control</v>
      </c>
      <c r="D4951" s="1" t="str">
        <f>IFERROR(__xludf.DUMMYFUNCTION("""COMPUTED_VALUE"""),"old_page")</f>
        <v>old_page</v>
      </c>
      <c r="E4951" s="1">
        <f>IFERROR(__xludf.DUMMYFUNCTION("""COMPUTED_VALUE"""),0.0)</f>
        <v>0</v>
      </c>
    </row>
    <row r="4952">
      <c r="A4952" s="1">
        <f>IFERROR(__xludf.DUMMYFUNCTION("""COMPUTED_VALUE"""),692032.0)</f>
        <v>692032</v>
      </c>
      <c r="B4952" s="2">
        <f>IFERROR(__xludf.DUMMYFUNCTION("""COMPUTED_VALUE"""),42744.96710358565)</f>
        <v>42744.9671</v>
      </c>
      <c r="C4952" s="1" t="str">
        <f>IFERROR(__xludf.DUMMYFUNCTION("""COMPUTED_VALUE"""),"control")</f>
        <v>control</v>
      </c>
      <c r="D4952" s="1" t="str">
        <f>IFERROR(__xludf.DUMMYFUNCTION("""COMPUTED_VALUE"""),"old_page")</f>
        <v>old_page</v>
      </c>
      <c r="E4952" s="1">
        <f>IFERROR(__xludf.DUMMYFUNCTION("""COMPUTED_VALUE"""),1.0)</f>
        <v>1</v>
      </c>
    </row>
    <row r="4953">
      <c r="A4953" s="1">
        <f>IFERROR(__xludf.DUMMYFUNCTION("""COMPUTED_VALUE"""),755006.0)</f>
        <v>755006</v>
      </c>
      <c r="B4953" s="2">
        <f>IFERROR(__xludf.DUMMYFUNCTION("""COMPUTED_VALUE"""),42743.55757191755)</f>
        <v>42743.55757</v>
      </c>
      <c r="C4953" s="1" t="str">
        <f>IFERROR(__xludf.DUMMYFUNCTION("""COMPUTED_VALUE"""),"treatment")</f>
        <v>treatment</v>
      </c>
      <c r="D4953" s="1" t="str">
        <f>IFERROR(__xludf.DUMMYFUNCTION("""COMPUTED_VALUE"""),"new_page")</f>
        <v>new_page</v>
      </c>
      <c r="E4953" s="1">
        <f>IFERROR(__xludf.DUMMYFUNCTION("""COMPUTED_VALUE"""),1.0)</f>
        <v>1</v>
      </c>
    </row>
    <row r="4954">
      <c r="A4954" s="1">
        <f>IFERROR(__xludf.DUMMYFUNCTION("""COMPUTED_VALUE"""),736427.0)</f>
        <v>736427</v>
      </c>
      <c r="B4954" s="2">
        <f>IFERROR(__xludf.DUMMYFUNCTION("""COMPUTED_VALUE"""),42752.927417119026)</f>
        <v>42752.92742</v>
      </c>
      <c r="C4954" s="1" t="str">
        <f>IFERROR(__xludf.DUMMYFUNCTION("""COMPUTED_VALUE"""),"treatment")</f>
        <v>treatment</v>
      </c>
      <c r="D4954" s="1" t="str">
        <f>IFERROR(__xludf.DUMMYFUNCTION("""COMPUTED_VALUE"""),"new_page")</f>
        <v>new_page</v>
      </c>
      <c r="E4954" s="1">
        <f>IFERROR(__xludf.DUMMYFUNCTION("""COMPUTED_VALUE"""),0.0)</f>
        <v>0</v>
      </c>
    </row>
    <row r="4955">
      <c r="A4955" s="1">
        <f>IFERROR(__xludf.DUMMYFUNCTION("""COMPUTED_VALUE"""),671871.0)</f>
        <v>671871</v>
      </c>
      <c r="B4955" s="2">
        <f>IFERROR(__xludf.DUMMYFUNCTION("""COMPUTED_VALUE"""),42742.42690563996)</f>
        <v>42742.42691</v>
      </c>
      <c r="C4955" s="1" t="str">
        <f>IFERROR(__xludf.DUMMYFUNCTION("""COMPUTED_VALUE"""),"control")</f>
        <v>control</v>
      </c>
      <c r="D4955" s="1" t="str">
        <f>IFERROR(__xludf.DUMMYFUNCTION("""COMPUTED_VALUE"""),"old_page")</f>
        <v>old_page</v>
      </c>
      <c r="E4955" s="1">
        <f>IFERROR(__xludf.DUMMYFUNCTION("""COMPUTED_VALUE"""),0.0)</f>
        <v>0</v>
      </c>
    </row>
    <row r="4956">
      <c r="A4956" s="1">
        <f>IFERROR(__xludf.DUMMYFUNCTION("""COMPUTED_VALUE"""),903026.0)</f>
        <v>903026</v>
      </c>
      <c r="B4956" s="2">
        <f>IFERROR(__xludf.DUMMYFUNCTION("""COMPUTED_VALUE"""),42746.607625815544)</f>
        <v>42746.60763</v>
      </c>
      <c r="C4956" s="1" t="str">
        <f>IFERROR(__xludf.DUMMYFUNCTION("""COMPUTED_VALUE"""),"treatment")</f>
        <v>treatment</v>
      </c>
      <c r="D4956" s="1" t="str">
        <f>IFERROR(__xludf.DUMMYFUNCTION("""COMPUTED_VALUE"""),"new_page")</f>
        <v>new_page</v>
      </c>
      <c r="E4956" s="1">
        <f>IFERROR(__xludf.DUMMYFUNCTION("""COMPUTED_VALUE"""),0.0)</f>
        <v>0</v>
      </c>
    </row>
    <row r="4957">
      <c r="A4957" s="1">
        <f>IFERROR(__xludf.DUMMYFUNCTION("""COMPUTED_VALUE"""),794089.0)</f>
        <v>794089</v>
      </c>
      <c r="B4957" s="2">
        <f>IFERROR(__xludf.DUMMYFUNCTION("""COMPUTED_VALUE"""),42752.57321008665)</f>
        <v>42752.57321</v>
      </c>
      <c r="C4957" s="1" t="str">
        <f>IFERROR(__xludf.DUMMYFUNCTION("""COMPUTED_VALUE"""),"control")</f>
        <v>control</v>
      </c>
      <c r="D4957" s="1" t="str">
        <f>IFERROR(__xludf.DUMMYFUNCTION("""COMPUTED_VALUE"""),"old_page")</f>
        <v>old_page</v>
      </c>
      <c r="E4957" s="1">
        <f>IFERROR(__xludf.DUMMYFUNCTION("""COMPUTED_VALUE"""),0.0)</f>
        <v>0</v>
      </c>
    </row>
    <row r="4958">
      <c r="A4958" s="1">
        <f>IFERROR(__xludf.DUMMYFUNCTION("""COMPUTED_VALUE"""),668319.0)</f>
        <v>668319</v>
      </c>
      <c r="B4958" s="2">
        <f>IFERROR(__xludf.DUMMYFUNCTION("""COMPUTED_VALUE"""),42738.7709563359)</f>
        <v>42738.77096</v>
      </c>
      <c r="C4958" s="1" t="str">
        <f>IFERROR(__xludf.DUMMYFUNCTION("""COMPUTED_VALUE"""),"control")</f>
        <v>control</v>
      </c>
      <c r="D4958" s="1" t="str">
        <f>IFERROR(__xludf.DUMMYFUNCTION("""COMPUTED_VALUE"""),"old_page")</f>
        <v>old_page</v>
      </c>
      <c r="E4958" s="1">
        <f>IFERROR(__xludf.DUMMYFUNCTION("""COMPUTED_VALUE"""),0.0)</f>
        <v>0</v>
      </c>
    </row>
    <row r="4959">
      <c r="A4959" s="1">
        <f>IFERROR(__xludf.DUMMYFUNCTION("""COMPUTED_VALUE"""),851954.0)</f>
        <v>851954</v>
      </c>
      <c r="B4959" s="2">
        <f>IFERROR(__xludf.DUMMYFUNCTION("""COMPUTED_VALUE"""),42751.84185959392)</f>
        <v>42751.84186</v>
      </c>
      <c r="C4959" s="1" t="str">
        <f>IFERROR(__xludf.DUMMYFUNCTION("""COMPUTED_VALUE"""),"control")</f>
        <v>control</v>
      </c>
      <c r="D4959" s="1" t="str">
        <f>IFERROR(__xludf.DUMMYFUNCTION("""COMPUTED_VALUE"""),"old_page")</f>
        <v>old_page</v>
      </c>
      <c r="E4959" s="1">
        <f>IFERROR(__xludf.DUMMYFUNCTION("""COMPUTED_VALUE"""),0.0)</f>
        <v>0</v>
      </c>
    </row>
    <row r="4960">
      <c r="A4960" s="1">
        <f>IFERROR(__xludf.DUMMYFUNCTION("""COMPUTED_VALUE"""),633472.0)</f>
        <v>633472</v>
      </c>
      <c r="B4960" s="2">
        <f>IFERROR(__xludf.DUMMYFUNCTION("""COMPUTED_VALUE"""),42742.34445144925)</f>
        <v>42742.34445</v>
      </c>
      <c r="C4960" s="1" t="str">
        <f>IFERROR(__xludf.DUMMYFUNCTION("""COMPUTED_VALUE"""),"treatment")</f>
        <v>treatment</v>
      </c>
      <c r="D4960" s="1" t="str">
        <f>IFERROR(__xludf.DUMMYFUNCTION("""COMPUTED_VALUE"""),"new_page")</f>
        <v>new_page</v>
      </c>
      <c r="E4960" s="1">
        <f>IFERROR(__xludf.DUMMYFUNCTION("""COMPUTED_VALUE"""),1.0)</f>
        <v>1</v>
      </c>
    </row>
    <row r="4961">
      <c r="A4961" s="1">
        <f>IFERROR(__xludf.DUMMYFUNCTION("""COMPUTED_VALUE"""),713166.0)</f>
        <v>713166</v>
      </c>
      <c r="B4961" s="2">
        <f>IFERROR(__xludf.DUMMYFUNCTION("""COMPUTED_VALUE"""),42753.33757954067)</f>
        <v>42753.33758</v>
      </c>
      <c r="C4961" s="1" t="str">
        <f>IFERROR(__xludf.DUMMYFUNCTION("""COMPUTED_VALUE"""),"treatment")</f>
        <v>treatment</v>
      </c>
      <c r="D4961" s="1" t="str">
        <f>IFERROR(__xludf.DUMMYFUNCTION("""COMPUTED_VALUE"""),"new_page")</f>
        <v>new_page</v>
      </c>
      <c r="E4961" s="1">
        <f>IFERROR(__xludf.DUMMYFUNCTION("""COMPUTED_VALUE"""),0.0)</f>
        <v>0</v>
      </c>
    </row>
    <row r="4962">
      <c r="A4962" s="1">
        <f>IFERROR(__xludf.DUMMYFUNCTION("""COMPUTED_VALUE"""),881039.0)</f>
        <v>881039</v>
      </c>
      <c r="B4962" s="2">
        <f>IFERROR(__xludf.DUMMYFUNCTION("""COMPUTED_VALUE"""),42742.63329408819)</f>
        <v>42742.63329</v>
      </c>
      <c r="C4962" s="1" t="str">
        <f>IFERROR(__xludf.DUMMYFUNCTION("""COMPUTED_VALUE"""),"treatment")</f>
        <v>treatment</v>
      </c>
      <c r="D4962" s="1" t="str">
        <f>IFERROR(__xludf.DUMMYFUNCTION("""COMPUTED_VALUE"""),"new_page")</f>
        <v>new_page</v>
      </c>
      <c r="E4962" s="1">
        <f>IFERROR(__xludf.DUMMYFUNCTION("""COMPUTED_VALUE"""),0.0)</f>
        <v>0</v>
      </c>
    </row>
    <row r="4963">
      <c r="A4963" s="1">
        <f>IFERROR(__xludf.DUMMYFUNCTION("""COMPUTED_VALUE"""),844946.0)</f>
        <v>844946</v>
      </c>
      <c r="B4963" s="2">
        <f>IFERROR(__xludf.DUMMYFUNCTION("""COMPUTED_VALUE"""),42739.306237552315)</f>
        <v>42739.30624</v>
      </c>
      <c r="C4963" s="1" t="str">
        <f>IFERROR(__xludf.DUMMYFUNCTION("""COMPUTED_VALUE"""),"treatment")</f>
        <v>treatment</v>
      </c>
      <c r="D4963" s="1" t="str">
        <f>IFERROR(__xludf.DUMMYFUNCTION("""COMPUTED_VALUE"""),"old_page")</f>
        <v>old_page</v>
      </c>
      <c r="E4963" s="1">
        <f>IFERROR(__xludf.DUMMYFUNCTION("""COMPUTED_VALUE"""),1.0)</f>
        <v>1</v>
      </c>
    </row>
    <row r="4964">
      <c r="A4964" s="1">
        <f>IFERROR(__xludf.DUMMYFUNCTION("""COMPUTED_VALUE"""),729859.0)</f>
        <v>729859</v>
      </c>
      <c r="B4964" s="2">
        <f>IFERROR(__xludf.DUMMYFUNCTION("""COMPUTED_VALUE"""),42754.595254357904)</f>
        <v>42754.59525</v>
      </c>
      <c r="C4964" s="1" t="str">
        <f>IFERROR(__xludf.DUMMYFUNCTION("""COMPUTED_VALUE"""),"control")</f>
        <v>control</v>
      </c>
      <c r="D4964" s="1" t="str">
        <f>IFERROR(__xludf.DUMMYFUNCTION("""COMPUTED_VALUE"""),"new_page")</f>
        <v>new_page</v>
      </c>
      <c r="E4964" s="1">
        <f>IFERROR(__xludf.DUMMYFUNCTION("""COMPUTED_VALUE"""),0.0)</f>
        <v>0</v>
      </c>
    </row>
    <row r="4965">
      <c r="A4965" s="1">
        <f>IFERROR(__xludf.DUMMYFUNCTION("""COMPUTED_VALUE"""),634528.0)</f>
        <v>634528</v>
      </c>
      <c r="B4965" s="2">
        <f>IFERROR(__xludf.DUMMYFUNCTION("""COMPUTED_VALUE"""),42748.952279936886)</f>
        <v>42748.95228</v>
      </c>
      <c r="C4965" s="1" t="str">
        <f>IFERROR(__xludf.DUMMYFUNCTION("""COMPUTED_VALUE"""),"treatment")</f>
        <v>treatment</v>
      </c>
      <c r="D4965" s="1" t="str">
        <f>IFERROR(__xludf.DUMMYFUNCTION("""COMPUTED_VALUE"""),"new_page")</f>
        <v>new_page</v>
      </c>
      <c r="E4965" s="1">
        <f>IFERROR(__xludf.DUMMYFUNCTION("""COMPUTED_VALUE"""),0.0)</f>
        <v>0</v>
      </c>
    </row>
    <row r="4966">
      <c r="A4966" s="1">
        <f>IFERROR(__xludf.DUMMYFUNCTION("""COMPUTED_VALUE"""),785138.0)</f>
        <v>785138</v>
      </c>
      <c r="B4966" s="2">
        <f>IFERROR(__xludf.DUMMYFUNCTION("""COMPUTED_VALUE"""),42741.774427866505)</f>
        <v>42741.77443</v>
      </c>
      <c r="C4966" s="1" t="str">
        <f>IFERROR(__xludf.DUMMYFUNCTION("""COMPUTED_VALUE"""),"treatment")</f>
        <v>treatment</v>
      </c>
      <c r="D4966" s="1" t="str">
        <f>IFERROR(__xludf.DUMMYFUNCTION("""COMPUTED_VALUE"""),"new_page")</f>
        <v>new_page</v>
      </c>
      <c r="E4966" s="1">
        <f>IFERROR(__xludf.DUMMYFUNCTION("""COMPUTED_VALUE"""),1.0)</f>
        <v>1</v>
      </c>
    </row>
    <row r="4967">
      <c r="A4967" s="1">
        <f>IFERROR(__xludf.DUMMYFUNCTION("""COMPUTED_VALUE"""),676860.0)</f>
        <v>676860</v>
      </c>
      <c r="B4967" s="2">
        <f>IFERROR(__xludf.DUMMYFUNCTION("""COMPUTED_VALUE"""),42754.398219663446)</f>
        <v>42754.39822</v>
      </c>
      <c r="C4967" s="1" t="str">
        <f>IFERROR(__xludf.DUMMYFUNCTION("""COMPUTED_VALUE"""),"control")</f>
        <v>control</v>
      </c>
      <c r="D4967" s="1" t="str">
        <f>IFERROR(__xludf.DUMMYFUNCTION("""COMPUTED_VALUE"""),"old_page")</f>
        <v>old_page</v>
      </c>
      <c r="E4967" s="1">
        <f>IFERROR(__xludf.DUMMYFUNCTION("""COMPUTED_VALUE"""),0.0)</f>
        <v>0</v>
      </c>
    </row>
    <row r="4968">
      <c r="A4968" s="1">
        <f>IFERROR(__xludf.DUMMYFUNCTION("""COMPUTED_VALUE"""),883436.0)</f>
        <v>883436</v>
      </c>
      <c r="B4968" s="2">
        <f>IFERROR(__xludf.DUMMYFUNCTION("""COMPUTED_VALUE"""),42755.6429291184)</f>
        <v>42755.64293</v>
      </c>
      <c r="C4968" s="1" t="str">
        <f>IFERROR(__xludf.DUMMYFUNCTION("""COMPUTED_VALUE"""),"control")</f>
        <v>control</v>
      </c>
      <c r="D4968" s="1" t="str">
        <f>IFERROR(__xludf.DUMMYFUNCTION("""COMPUTED_VALUE"""),"old_page")</f>
        <v>old_page</v>
      </c>
      <c r="E4968" s="1">
        <f>IFERROR(__xludf.DUMMYFUNCTION("""COMPUTED_VALUE"""),0.0)</f>
        <v>0</v>
      </c>
    </row>
    <row r="4969">
      <c r="A4969" s="1">
        <f>IFERROR(__xludf.DUMMYFUNCTION("""COMPUTED_VALUE"""),857127.0)</f>
        <v>857127</v>
      </c>
      <c r="B4969" s="2">
        <f>IFERROR(__xludf.DUMMYFUNCTION("""COMPUTED_VALUE"""),42738.74336889623)</f>
        <v>42738.74337</v>
      </c>
      <c r="C4969" s="1" t="str">
        <f>IFERROR(__xludf.DUMMYFUNCTION("""COMPUTED_VALUE"""),"treatment")</f>
        <v>treatment</v>
      </c>
      <c r="D4969" s="1" t="str">
        <f>IFERROR(__xludf.DUMMYFUNCTION("""COMPUTED_VALUE"""),"new_page")</f>
        <v>new_page</v>
      </c>
      <c r="E4969" s="1">
        <f>IFERROR(__xludf.DUMMYFUNCTION("""COMPUTED_VALUE"""),1.0)</f>
        <v>1</v>
      </c>
    </row>
    <row r="4970">
      <c r="A4970" s="1">
        <f>IFERROR(__xludf.DUMMYFUNCTION("""COMPUTED_VALUE"""),850003.0)</f>
        <v>850003</v>
      </c>
      <c r="B4970" s="2">
        <f>IFERROR(__xludf.DUMMYFUNCTION("""COMPUTED_VALUE"""),42741.12786312675)</f>
        <v>42741.12786</v>
      </c>
      <c r="C4970" s="1" t="str">
        <f>IFERROR(__xludf.DUMMYFUNCTION("""COMPUTED_VALUE"""),"treatment")</f>
        <v>treatment</v>
      </c>
      <c r="D4970" s="1" t="str">
        <f>IFERROR(__xludf.DUMMYFUNCTION("""COMPUTED_VALUE"""),"new_page")</f>
        <v>new_page</v>
      </c>
      <c r="E4970" s="1">
        <f>IFERROR(__xludf.DUMMYFUNCTION("""COMPUTED_VALUE"""),0.0)</f>
        <v>0</v>
      </c>
    </row>
    <row r="4971">
      <c r="A4971" s="1">
        <f>IFERROR(__xludf.DUMMYFUNCTION("""COMPUTED_VALUE"""),800222.0)</f>
        <v>800222</v>
      </c>
      <c r="B4971" s="2">
        <f>IFERROR(__xludf.DUMMYFUNCTION("""COMPUTED_VALUE"""),42753.771782118325)</f>
        <v>42753.77178</v>
      </c>
      <c r="C4971" s="1" t="str">
        <f>IFERROR(__xludf.DUMMYFUNCTION("""COMPUTED_VALUE"""),"control")</f>
        <v>control</v>
      </c>
      <c r="D4971" s="1" t="str">
        <f>IFERROR(__xludf.DUMMYFUNCTION("""COMPUTED_VALUE"""),"old_page")</f>
        <v>old_page</v>
      </c>
      <c r="E4971" s="1">
        <f>IFERROR(__xludf.DUMMYFUNCTION("""COMPUTED_VALUE"""),1.0)</f>
        <v>1</v>
      </c>
    </row>
    <row r="4972">
      <c r="A4972" s="1">
        <f>IFERROR(__xludf.DUMMYFUNCTION("""COMPUTED_VALUE"""),678503.0)</f>
        <v>678503</v>
      </c>
      <c r="B4972" s="2">
        <f>IFERROR(__xludf.DUMMYFUNCTION("""COMPUTED_VALUE"""),42748.96737047162)</f>
        <v>42748.96737</v>
      </c>
      <c r="C4972" s="1" t="str">
        <f>IFERROR(__xludf.DUMMYFUNCTION("""COMPUTED_VALUE"""),"treatment")</f>
        <v>treatment</v>
      </c>
      <c r="D4972" s="1" t="str">
        <f>IFERROR(__xludf.DUMMYFUNCTION("""COMPUTED_VALUE"""),"new_page")</f>
        <v>new_page</v>
      </c>
      <c r="E4972" s="1">
        <f>IFERROR(__xludf.DUMMYFUNCTION("""COMPUTED_VALUE"""),0.0)</f>
        <v>0</v>
      </c>
    </row>
    <row r="4973">
      <c r="A4973" s="1">
        <f>IFERROR(__xludf.DUMMYFUNCTION("""COMPUTED_VALUE"""),761407.0)</f>
        <v>761407</v>
      </c>
      <c r="B4973" s="2">
        <f>IFERROR(__xludf.DUMMYFUNCTION("""COMPUTED_VALUE"""),42751.082879064306)</f>
        <v>42751.08288</v>
      </c>
      <c r="C4973" s="1" t="str">
        <f>IFERROR(__xludf.DUMMYFUNCTION("""COMPUTED_VALUE"""),"treatment")</f>
        <v>treatment</v>
      </c>
      <c r="D4973" s="1" t="str">
        <f>IFERROR(__xludf.DUMMYFUNCTION("""COMPUTED_VALUE"""),"new_page")</f>
        <v>new_page</v>
      </c>
      <c r="E4973" s="1">
        <f>IFERROR(__xludf.DUMMYFUNCTION("""COMPUTED_VALUE"""),0.0)</f>
        <v>0</v>
      </c>
    </row>
    <row r="4974">
      <c r="A4974" s="1">
        <f>IFERROR(__xludf.DUMMYFUNCTION("""COMPUTED_VALUE"""),681114.0)</f>
        <v>681114</v>
      </c>
      <c r="B4974" s="2">
        <f>IFERROR(__xludf.DUMMYFUNCTION("""COMPUTED_VALUE"""),42744.43618041769)</f>
        <v>42744.43618</v>
      </c>
      <c r="C4974" s="1" t="str">
        <f>IFERROR(__xludf.DUMMYFUNCTION("""COMPUTED_VALUE"""),"control")</f>
        <v>control</v>
      </c>
      <c r="D4974" s="1" t="str">
        <f>IFERROR(__xludf.DUMMYFUNCTION("""COMPUTED_VALUE"""),"old_page")</f>
        <v>old_page</v>
      </c>
      <c r="E4974" s="1">
        <f>IFERROR(__xludf.DUMMYFUNCTION("""COMPUTED_VALUE"""),0.0)</f>
        <v>0</v>
      </c>
    </row>
    <row r="4975">
      <c r="A4975" s="1">
        <f>IFERROR(__xludf.DUMMYFUNCTION("""COMPUTED_VALUE"""),861299.0)</f>
        <v>861299</v>
      </c>
      <c r="B4975" s="2">
        <f>IFERROR(__xludf.DUMMYFUNCTION("""COMPUTED_VALUE"""),42749.754170805645)</f>
        <v>42749.75417</v>
      </c>
      <c r="C4975" s="1" t="str">
        <f>IFERROR(__xludf.DUMMYFUNCTION("""COMPUTED_VALUE"""),"treatment")</f>
        <v>treatment</v>
      </c>
      <c r="D4975" s="1" t="str">
        <f>IFERROR(__xludf.DUMMYFUNCTION("""COMPUTED_VALUE"""),"new_page")</f>
        <v>new_page</v>
      </c>
      <c r="E4975" s="1">
        <f>IFERROR(__xludf.DUMMYFUNCTION("""COMPUTED_VALUE"""),0.0)</f>
        <v>0</v>
      </c>
    </row>
    <row r="4976">
      <c r="A4976" s="1">
        <f>IFERROR(__xludf.DUMMYFUNCTION("""COMPUTED_VALUE"""),859178.0)</f>
        <v>859178</v>
      </c>
      <c r="B4976" s="2">
        <f>IFERROR(__xludf.DUMMYFUNCTION("""COMPUTED_VALUE"""),42742.69500592208)</f>
        <v>42742.69501</v>
      </c>
      <c r="C4976" s="1" t="str">
        <f>IFERROR(__xludf.DUMMYFUNCTION("""COMPUTED_VALUE"""),"control")</f>
        <v>control</v>
      </c>
      <c r="D4976" s="1" t="str">
        <f>IFERROR(__xludf.DUMMYFUNCTION("""COMPUTED_VALUE"""),"old_page")</f>
        <v>old_page</v>
      </c>
      <c r="E4976" s="1">
        <f>IFERROR(__xludf.DUMMYFUNCTION("""COMPUTED_VALUE"""),0.0)</f>
        <v>0</v>
      </c>
    </row>
    <row r="4977">
      <c r="A4977" s="1">
        <f>IFERROR(__xludf.DUMMYFUNCTION("""COMPUTED_VALUE"""),817756.0)</f>
        <v>817756</v>
      </c>
      <c r="B4977" s="2">
        <f>IFERROR(__xludf.DUMMYFUNCTION("""COMPUTED_VALUE"""),42752.60036835551)</f>
        <v>42752.60037</v>
      </c>
      <c r="C4977" s="1" t="str">
        <f>IFERROR(__xludf.DUMMYFUNCTION("""COMPUTED_VALUE"""),"treatment")</f>
        <v>treatment</v>
      </c>
      <c r="D4977" s="1" t="str">
        <f>IFERROR(__xludf.DUMMYFUNCTION("""COMPUTED_VALUE"""),"new_page")</f>
        <v>new_page</v>
      </c>
      <c r="E4977" s="1">
        <f>IFERROR(__xludf.DUMMYFUNCTION("""COMPUTED_VALUE"""),0.0)</f>
        <v>0</v>
      </c>
    </row>
    <row r="4978">
      <c r="A4978" s="1">
        <f>IFERROR(__xludf.DUMMYFUNCTION("""COMPUTED_VALUE"""),727870.0)</f>
        <v>727870</v>
      </c>
      <c r="B4978" s="2">
        <f>IFERROR(__xludf.DUMMYFUNCTION("""COMPUTED_VALUE"""),42746.24831006043)</f>
        <v>42746.24831</v>
      </c>
      <c r="C4978" s="1" t="str">
        <f>IFERROR(__xludf.DUMMYFUNCTION("""COMPUTED_VALUE"""),"treatment")</f>
        <v>treatment</v>
      </c>
      <c r="D4978" s="1" t="str">
        <f>IFERROR(__xludf.DUMMYFUNCTION("""COMPUTED_VALUE"""),"new_page")</f>
        <v>new_page</v>
      </c>
      <c r="E4978" s="1">
        <f>IFERROR(__xludf.DUMMYFUNCTION("""COMPUTED_VALUE"""),0.0)</f>
        <v>0</v>
      </c>
    </row>
    <row r="4979">
      <c r="A4979" s="1">
        <f>IFERROR(__xludf.DUMMYFUNCTION("""COMPUTED_VALUE"""),692404.0)</f>
        <v>692404</v>
      </c>
      <c r="B4979" s="2">
        <f>IFERROR(__xludf.DUMMYFUNCTION("""COMPUTED_VALUE"""),42738.01134195689)</f>
        <v>42738.01134</v>
      </c>
      <c r="C4979" s="1" t="str">
        <f>IFERROR(__xludf.DUMMYFUNCTION("""COMPUTED_VALUE"""),"control")</f>
        <v>control</v>
      </c>
      <c r="D4979" s="1" t="str">
        <f>IFERROR(__xludf.DUMMYFUNCTION("""COMPUTED_VALUE"""),"old_page")</f>
        <v>old_page</v>
      </c>
      <c r="E4979" s="1">
        <f>IFERROR(__xludf.DUMMYFUNCTION("""COMPUTED_VALUE"""),0.0)</f>
        <v>0</v>
      </c>
    </row>
    <row r="4980">
      <c r="A4980" s="1">
        <f>IFERROR(__xludf.DUMMYFUNCTION("""COMPUTED_VALUE"""),876424.0)</f>
        <v>876424</v>
      </c>
      <c r="B4980" s="2">
        <f>IFERROR(__xludf.DUMMYFUNCTION("""COMPUTED_VALUE"""),42750.66914026054)</f>
        <v>42750.66914</v>
      </c>
      <c r="C4980" s="1" t="str">
        <f>IFERROR(__xludf.DUMMYFUNCTION("""COMPUTED_VALUE"""),"control")</f>
        <v>control</v>
      </c>
      <c r="D4980" s="1" t="str">
        <f>IFERROR(__xludf.DUMMYFUNCTION("""COMPUTED_VALUE"""),"old_page")</f>
        <v>old_page</v>
      </c>
      <c r="E4980" s="1">
        <f>IFERROR(__xludf.DUMMYFUNCTION("""COMPUTED_VALUE"""),0.0)</f>
        <v>0</v>
      </c>
    </row>
    <row r="4981">
      <c r="A4981" s="1">
        <f>IFERROR(__xludf.DUMMYFUNCTION("""COMPUTED_VALUE"""),943931.0)</f>
        <v>943931</v>
      </c>
      <c r="B4981" s="2">
        <f>IFERROR(__xludf.DUMMYFUNCTION("""COMPUTED_VALUE"""),42747.193395220245)</f>
        <v>42747.1934</v>
      </c>
      <c r="C4981" s="1" t="str">
        <f>IFERROR(__xludf.DUMMYFUNCTION("""COMPUTED_VALUE"""),"control")</f>
        <v>control</v>
      </c>
      <c r="D4981" s="1" t="str">
        <f>IFERROR(__xludf.DUMMYFUNCTION("""COMPUTED_VALUE"""),"old_page")</f>
        <v>old_page</v>
      </c>
      <c r="E4981" s="1">
        <f>IFERROR(__xludf.DUMMYFUNCTION("""COMPUTED_VALUE"""),1.0)</f>
        <v>1</v>
      </c>
    </row>
    <row r="4982">
      <c r="A4982" s="1">
        <f>IFERROR(__xludf.DUMMYFUNCTION("""COMPUTED_VALUE"""),858125.0)</f>
        <v>858125</v>
      </c>
      <c r="B4982" s="2">
        <f>IFERROR(__xludf.DUMMYFUNCTION("""COMPUTED_VALUE"""),42739.902328851495)</f>
        <v>42739.90233</v>
      </c>
      <c r="C4982" s="1" t="str">
        <f>IFERROR(__xludf.DUMMYFUNCTION("""COMPUTED_VALUE"""),"treatment")</f>
        <v>treatment</v>
      </c>
      <c r="D4982" s="1" t="str">
        <f>IFERROR(__xludf.DUMMYFUNCTION("""COMPUTED_VALUE"""),"new_page")</f>
        <v>new_page</v>
      </c>
      <c r="E4982" s="1">
        <f>IFERROR(__xludf.DUMMYFUNCTION("""COMPUTED_VALUE"""),0.0)</f>
        <v>0</v>
      </c>
    </row>
    <row r="4983">
      <c r="A4983" s="1">
        <f>IFERROR(__xludf.DUMMYFUNCTION("""COMPUTED_VALUE"""),840883.0)</f>
        <v>840883</v>
      </c>
      <c r="B4983" s="2">
        <f>IFERROR(__xludf.DUMMYFUNCTION("""COMPUTED_VALUE"""),42747.30334434419)</f>
        <v>42747.30334</v>
      </c>
      <c r="C4983" s="1" t="str">
        <f>IFERROR(__xludf.DUMMYFUNCTION("""COMPUTED_VALUE"""),"control")</f>
        <v>control</v>
      </c>
      <c r="D4983" s="1" t="str">
        <f>IFERROR(__xludf.DUMMYFUNCTION("""COMPUTED_VALUE"""),"old_page")</f>
        <v>old_page</v>
      </c>
      <c r="E4983" s="1">
        <f>IFERROR(__xludf.DUMMYFUNCTION("""COMPUTED_VALUE"""),0.0)</f>
        <v>0</v>
      </c>
    </row>
    <row r="4984">
      <c r="A4984" s="1">
        <f>IFERROR(__xludf.DUMMYFUNCTION("""COMPUTED_VALUE"""),851283.0)</f>
        <v>851283</v>
      </c>
      <c r="B4984" s="2">
        <f>IFERROR(__xludf.DUMMYFUNCTION("""COMPUTED_VALUE"""),42746.975476278574)</f>
        <v>42746.97548</v>
      </c>
      <c r="C4984" s="1" t="str">
        <f>IFERROR(__xludf.DUMMYFUNCTION("""COMPUTED_VALUE"""),"control")</f>
        <v>control</v>
      </c>
      <c r="D4984" s="1" t="str">
        <f>IFERROR(__xludf.DUMMYFUNCTION("""COMPUTED_VALUE"""),"old_page")</f>
        <v>old_page</v>
      </c>
      <c r="E4984" s="1">
        <f>IFERROR(__xludf.DUMMYFUNCTION("""COMPUTED_VALUE"""),0.0)</f>
        <v>0</v>
      </c>
    </row>
    <row r="4985">
      <c r="A4985" s="1">
        <f>IFERROR(__xludf.DUMMYFUNCTION("""COMPUTED_VALUE"""),850163.0)</f>
        <v>850163</v>
      </c>
      <c r="B4985" s="2">
        <f>IFERROR(__xludf.DUMMYFUNCTION("""COMPUTED_VALUE"""),42748.25959737175)</f>
        <v>42748.2596</v>
      </c>
      <c r="C4985" s="1" t="str">
        <f>IFERROR(__xludf.DUMMYFUNCTION("""COMPUTED_VALUE"""),"treatment")</f>
        <v>treatment</v>
      </c>
      <c r="D4985" s="1" t="str">
        <f>IFERROR(__xludf.DUMMYFUNCTION("""COMPUTED_VALUE"""),"new_page")</f>
        <v>new_page</v>
      </c>
      <c r="E4985" s="1">
        <f>IFERROR(__xludf.DUMMYFUNCTION("""COMPUTED_VALUE"""),0.0)</f>
        <v>0</v>
      </c>
    </row>
    <row r="4986">
      <c r="A4986" s="1">
        <f>IFERROR(__xludf.DUMMYFUNCTION("""COMPUTED_VALUE"""),792992.0)</f>
        <v>792992</v>
      </c>
      <c r="B4986" s="2">
        <f>IFERROR(__xludf.DUMMYFUNCTION("""COMPUTED_VALUE"""),42751.77936295053)</f>
        <v>42751.77936</v>
      </c>
      <c r="C4986" s="1" t="str">
        <f>IFERROR(__xludf.DUMMYFUNCTION("""COMPUTED_VALUE"""),"treatment")</f>
        <v>treatment</v>
      </c>
      <c r="D4986" s="1" t="str">
        <f>IFERROR(__xludf.DUMMYFUNCTION("""COMPUTED_VALUE"""),"new_page")</f>
        <v>new_page</v>
      </c>
      <c r="E4986" s="1">
        <f>IFERROR(__xludf.DUMMYFUNCTION("""COMPUTED_VALUE"""),1.0)</f>
        <v>1</v>
      </c>
    </row>
    <row r="4987">
      <c r="A4987" s="1">
        <f>IFERROR(__xludf.DUMMYFUNCTION("""COMPUTED_VALUE"""),652005.0)</f>
        <v>652005</v>
      </c>
      <c r="B4987" s="2">
        <f>IFERROR(__xludf.DUMMYFUNCTION("""COMPUTED_VALUE"""),42751.2500825495)</f>
        <v>42751.25008</v>
      </c>
      <c r="C4987" s="1" t="str">
        <f>IFERROR(__xludf.DUMMYFUNCTION("""COMPUTED_VALUE"""),"treatment")</f>
        <v>treatment</v>
      </c>
      <c r="D4987" s="1" t="str">
        <f>IFERROR(__xludf.DUMMYFUNCTION("""COMPUTED_VALUE"""),"new_page")</f>
        <v>new_page</v>
      </c>
      <c r="E4987" s="1">
        <f>IFERROR(__xludf.DUMMYFUNCTION("""COMPUTED_VALUE"""),0.0)</f>
        <v>0</v>
      </c>
    </row>
    <row r="4988">
      <c r="A4988" s="1">
        <f>IFERROR(__xludf.DUMMYFUNCTION("""COMPUTED_VALUE"""),913917.0)</f>
        <v>913917</v>
      </c>
      <c r="B4988" s="2">
        <f>IFERROR(__xludf.DUMMYFUNCTION("""COMPUTED_VALUE"""),42749.71279445741)</f>
        <v>42749.71279</v>
      </c>
      <c r="C4988" s="1" t="str">
        <f>IFERROR(__xludf.DUMMYFUNCTION("""COMPUTED_VALUE"""),"control")</f>
        <v>control</v>
      </c>
      <c r="D4988" s="1" t="str">
        <f>IFERROR(__xludf.DUMMYFUNCTION("""COMPUTED_VALUE"""),"old_page")</f>
        <v>old_page</v>
      </c>
      <c r="E4988" s="1">
        <f>IFERROR(__xludf.DUMMYFUNCTION("""COMPUTED_VALUE"""),0.0)</f>
        <v>0</v>
      </c>
    </row>
    <row r="4989">
      <c r="A4989" s="1">
        <f>IFERROR(__xludf.DUMMYFUNCTION("""COMPUTED_VALUE"""),796395.0)</f>
        <v>796395</v>
      </c>
      <c r="B4989" s="2">
        <f>IFERROR(__xludf.DUMMYFUNCTION("""COMPUTED_VALUE"""),42751.84287492324)</f>
        <v>42751.84287</v>
      </c>
      <c r="C4989" s="1" t="str">
        <f>IFERROR(__xludf.DUMMYFUNCTION("""COMPUTED_VALUE"""),"treatment")</f>
        <v>treatment</v>
      </c>
      <c r="D4989" s="1" t="str">
        <f>IFERROR(__xludf.DUMMYFUNCTION("""COMPUTED_VALUE"""),"new_page")</f>
        <v>new_page</v>
      </c>
      <c r="E4989" s="1">
        <f>IFERROR(__xludf.DUMMYFUNCTION("""COMPUTED_VALUE"""),0.0)</f>
        <v>0</v>
      </c>
    </row>
    <row r="4990">
      <c r="A4990" s="1">
        <f>IFERROR(__xludf.DUMMYFUNCTION("""COMPUTED_VALUE"""),788468.0)</f>
        <v>788468</v>
      </c>
      <c r="B4990" s="2">
        <f>IFERROR(__xludf.DUMMYFUNCTION("""COMPUTED_VALUE"""),42756.321047030695)</f>
        <v>42756.32105</v>
      </c>
      <c r="C4990" s="1" t="str">
        <f>IFERROR(__xludf.DUMMYFUNCTION("""COMPUTED_VALUE"""),"control")</f>
        <v>control</v>
      </c>
      <c r="D4990" s="1" t="str">
        <f>IFERROR(__xludf.DUMMYFUNCTION("""COMPUTED_VALUE"""),"old_page")</f>
        <v>old_page</v>
      </c>
      <c r="E4990" s="1">
        <f>IFERROR(__xludf.DUMMYFUNCTION("""COMPUTED_VALUE"""),1.0)</f>
        <v>1</v>
      </c>
    </row>
    <row r="4991">
      <c r="A4991" s="1">
        <f>IFERROR(__xludf.DUMMYFUNCTION("""COMPUTED_VALUE"""),735454.0)</f>
        <v>735454</v>
      </c>
      <c r="B4991" s="2">
        <f>IFERROR(__xludf.DUMMYFUNCTION("""COMPUTED_VALUE"""),42741.72308194143)</f>
        <v>42741.72308</v>
      </c>
      <c r="C4991" s="1" t="str">
        <f>IFERROR(__xludf.DUMMYFUNCTION("""COMPUTED_VALUE"""),"treatment")</f>
        <v>treatment</v>
      </c>
      <c r="D4991" s="1" t="str">
        <f>IFERROR(__xludf.DUMMYFUNCTION("""COMPUTED_VALUE"""),"new_page")</f>
        <v>new_page</v>
      </c>
      <c r="E4991" s="1">
        <f>IFERROR(__xludf.DUMMYFUNCTION("""COMPUTED_VALUE"""),0.0)</f>
        <v>0</v>
      </c>
    </row>
    <row r="4992">
      <c r="A4992" s="1">
        <f>IFERROR(__xludf.DUMMYFUNCTION("""COMPUTED_VALUE"""),713943.0)</f>
        <v>713943</v>
      </c>
      <c r="B4992" s="2">
        <f>IFERROR(__xludf.DUMMYFUNCTION("""COMPUTED_VALUE"""),42749.73552850608)</f>
        <v>42749.73553</v>
      </c>
      <c r="C4992" s="1" t="str">
        <f>IFERROR(__xludf.DUMMYFUNCTION("""COMPUTED_VALUE"""),"control")</f>
        <v>control</v>
      </c>
      <c r="D4992" s="1" t="str">
        <f>IFERROR(__xludf.DUMMYFUNCTION("""COMPUTED_VALUE"""),"old_page")</f>
        <v>old_page</v>
      </c>
      <c r="E4992" s="1">
        <f>IFERROR(__xludf.DUMMYFUNCTION("""COMPUTED_VALUE"""),0.0)</f>
        <v>0</v>
      </c>
    </row>
    <row r="4993">
      <c r="A4993" s="1">
        <f>IFERROR(__xludf.DUMMYFUNCTION("""COMPUTED_VALUE"""),908633.0)</f>
        <v>908633</v>
      </c>
      <c r="B4993" s="2">
        <f>IFERROR(__xludf.DUMMYFUNCTION("""COMPUTED_VALUE"""),42742.15015297707)</f>
        <v>42742.15015</v>
      </c>
      <c r="C4993" s="1" t="str">
        <f>IFERROR(__xludf.DUMMYFUNCTION("""COMPUTED_VALUE"""),"control")</f>
        <v>control</v>
      </c>
      <c r="D4993" s="1" t="str">
        <f>IFERROR(__xludf.DUMMYFUNCTION("""COMPUTED_VALUE"""),"old_page")</f>
        <v>old_page</v>
      </c>
      <c r="E4993" s="1">
        <f>IFERROR(__xludf.DUMMYFUNCTION("""COMPUTED_VALUE"""),0.0)</f>
        <v>0</v>
      </c>
    </row>
    <row r="4994">
      <c r="A4994" s="1">
        <f>IFERROR(__xludf.DUMMYFUNCTION("""COMPUTED_VALUE"""),756621.0)</f>
        <v>756621</v>
      </c>
      <c r="B4994" s="2">
        <f>IFERROR(__xludf.DUMMYFUNCTION("""COMPUTED_VALUE"""),42742.2009936872)</f>
        <v>42742.20099</v>
      </c>
      <c r="C4994" s="1" t="str">
        <f>IFERROR(__xludf.DUMMYFUNCTION("""COMPUTED_VALUE"""),"treatment")</f>
        <v>treatment</v>
      </c>
      <c r="D4994" s="1" t="str">
        <f>IFERROR(__xludf.DUMMYFUNCTION("""COMPUTED_VALUE"""),"new_page")</f>
        <v>new_page</v>
      </c>
      <c r="E4994" s="1">
        <f>IFERROR(__xludf.DUMMYFUNCTION("""COMPUTED_VALUE"""),0.0)</f>
        <v>0</v>
      </c>
    </row>
    <row r="4995">
      <c r="A4995" s="1">
        <f>IFERROR(__xludf.DUMMYFUNCTION("""COMPUTED_VALUE"""),788820.0)</f>
        <v>788820</v>
      </c>
      <c r="B4995" s="2">
        <f>IFERROR(__xludf.DUMMYFUNCTION("""COMPUTED_VALUE"""),42745.79112181611)</f>
        <v>42745.79112</v>
      </c>
      <c r="C4995" s="1" t="str">
        <f>IFERROR(__xludf.DUMMYFUNCTION("""COMPUTED_VALUE"""),"treatment")</f>
        <v>treatment</v>
      </c>
      <c r="D4995" s="1" t="str">
        <f>IFERROR(__xludf.DUMMYFUNCTION("""COMPUTED_VALUE"""),"new_page")</f>
        <v>new_page</v>
      </c>
      <c r="E4995" s="1">
        <f>IFERROR(__xludf.DUMMYFUNCTION("""COMPUTED_VALUE"""),0.0)</f>
        <v>0</v>
      </c>
    </row>
    <row r="4996">
      <c r="A4996" s="1">
        <f>IFERROR(__xludf.DUMMYFUNCTION("""COMPUTED_VALUE"""),774735.0)</f>
        <v>774735</v>
      </c>
      <c r="B4996" s="2">
        <f>IFERROR(__xludf.DUMMYFUNCTION("""COMPUTED_VALUE"""),42741.450217165286)</f>
        <v>42741.45022</v>
      </c>
      <c r="C4996" s="1" t="str">
        <f>IFERROR(__xludf.DUMMYFUNCTION("""COMPUTED_VALUE"""),"treatment")</f>
        <v>treatment</v>
      </c>
      <c r="D4996" s="1" t="str">
        <f>IFERROR(__xludf.DUMMYFUNCTION("""COMPUTED_VALUE"""),"new_page")</f>
        <v>new_page</v>
      </c>
      <c r="E4996" s="1">
        <f>IFERROR(__xludf.DUMMYFUNCTION("""COMPUTED_VALUE"""),0.0)</f>
        <v>0</v>
      </c>
    </row>
    <row r="4997">
      <c r="A4997" s="1">
        <f>IFERROR(__xludf.DUMMYFUNCTION("""COMPUTED_VALUE"""),930829.0)</f>
        <v>930829</v>
      </c>
      <c r="B4997" s="2">
        <f>IFERROR(__xludf.DUMMYFUNCTION("""COMPUTED_VALUE"""),42737.91976842767)</f>
        <v>42737.91977</v>
      </c>
      <c r="C4997" s="1" t="str">
        <f>IFERROR(__xludf.DUMMYFUNCTION("""COMPUTED_VALUE"""),"treatment")</f>
        <v>treatment</v>
      </c>
      <c r="D4997" s="1" t="str">
        <f>IFERROR(__xludf.DUMMYFUNCTION("""COMPUTED_VALUE"""),"new_page")</f>
        <v>new_page</v>
      </c>
      <c r="E4997" s="1">
        <f>IFERROR(__xludf.DUMMYFUNCTION("""COMPUTED_VALUE"""),0.0)</f>
        <v>0</v>
      </c>
    </row>
    <row r="4998">
      <c r="A4998" s="1">
        <f>IFERROR(__xludf.DUMMYFUNCTION("""COMPUTED_VALUE"""),747574.0)</f>
        <v>747574</v>
      </c>
      <c r="B4998" s="2">
        <f>IFERROR(__xludf.DUMMYFUNCTION("""COMPUTED_VALUE"""),42746.827467869734)</f>
        <v>42746.82747</v>
      </c>
      <c r="C4998" s="1" t="str">
        <f>IFERROR(__xludf.DUMMYFUNCTION("""COMPUTED_VALUE"""),"treatment")</f>
        <v>treatment</v>
      </c>
      <c r="D4998" s="1" t="str">
        <f>IFERROR(__xludf.DUMMYFUNCTION("""COMPUTED_VALUE"""),"new_page")</f>
        <v>new_page</v>
      </c>
      <c r="E4998" s="1">
        <f>IFERROR(__xludf.DUMMYFUNCTION("""COMPUTED_VALUE"""),0.0)</f>
        <v>0</v>
      </c>
    </row>
    <row r="4999">
      <c r="A4999" s="1">
        <f>IFERROR(__xludf.DUMMYFUNCTION("""COMPUTED_VALUE"""),795657.0)</f>
        <v>795657</v>
      </c>
      <c r="B4999" s="2">
        <f>IFERROR(__xludf.DUMMYFUNCTION("""COMPUTED_VALUE"""),42746.1493377713)</f>
        <v>42746.14934</v>
      </c>
      <c r="C4999" s="1" t="str">
        <f>IFERROR(__xludf.DUMMYFUNCTION("""COMPUTED_VALUE"""),"control")</f>
        <v>control</v>
      </c>
      <c r="D4999" s="1" t="str">
        <f>IFERROR(__xludf.DUMMYFUNCTION("""COMPUTED_VALUE"""),"old_page")</f>
        <v>old_page</v>
      </c>
      <c r="E4999" s="1">
        <f>IFERROR(__xludf.DUMMYFUNCTION("""COMPUTED_VALUE"""),0.0)</f>
        <v>0</v>
      </c>
    </row>
    <row r="5000">
      <c r="A5000" s="1">
        <f>IFERROR(__xludf.DUMMYFUNCTION("""COMPUTED_VALUE"""),901017.0)</f>
        <v>901017</v>
      </c>
      <c r="B5000" s="2">
        <f>IFERROR(__xludf.DUMMYFUNCTION("""COMPUTED_VALUE"""),42758.21292409096)</f>
        <v>42758.21292</v>
      </c>
      <c r="C5000" s="1" t="str">
        <f>IFERROR(__xludf.DUMMYFUNCTION("""COMPUTED_VALUE"""),"control")</f>
        <v>control</v>
      </c>
      <c r="D5000" s="1" t="str">
        <f>IFERROR(__xludf.DUMMYFUNCTION("""COMPUTED_VALUE"""),"old_page")</f>
        <v>old_page</v>
      </c>
      <c r="E5000" s="1">
        <f>IFERROR(__xludf.DUMMYFUNCTION("""COMPUTED_VALUE"""),0.0)</f>
        <v>0</v>
      </c>
    </row>
    <row r="5001">
      <c r="A5001" s="1">
        <f>IFERROR(__xludf.DUMMYFUNCTION("""COMPUTED_VALUE"""),753558.0)</f>
        <v>753558</v>
      </c>
      <c r="B5001" s="2">
        <f>IFERROR(__xludf.DUMMYFUNCTION("""COMPUTED_VALUE"""),42758.46329070338)</f>
        <v>42758.46329</v>
      </c>
      <c r="C5001" s="1" t="str">
        <f>IFERROR(__xludf.DUMMYFUNCTION("""COMPUTED_VALUE"""),"treatment")</f>
        <v>treatment</v>
      </c>
      <c r="D5001" s="1" t="str">
        <f>IFERROR(__xludf.DUMMYFUNCTION("""COMPUTED_VALUE"""),"new_page")</f>
        <v>new_page</v>
      </c>
      <c r="E5001" s="1">
        <f>IFERROR(__xludf.DUMMYFUNCTION("""COMPUTED_VALUE"""),0.0)</f>
        <v>0</v>
      </c>
    </row>
  </sheetData>
  <mergeCells count="1">
    <mergeCell ref="H2:I2"/>
  </mergeCells>
  <drawing r:id="rId1"/>
</worksheet>
</file>